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55" windowHeight="12315" activeTab="1"/>
  </bookViews>
  <sheets>
    <sheet name="Week3" sheetId="1" r:id="rId1"/>
    <sheet name="Week4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246" i="2"/>
  <c r="C185"/>
  <c r="D185" s="1"/>
  <c r="C186"/>
  <c r="D186" s="1"/>
  <c r="C187"/>
  <c r="C188"/>
  <c r="C189"/>
  <c r="D189" s="1"/>
  <c r="C190"/>
  <c r="D190" s="1"/>
  <c r="C191"/>
  <c r="C192"/>
  <c r="C193"/>
  <c r="D193" s="1"/>
  <c r="C194"/>
  <c r="D194" s="1"/>
  <c r="C195"/>
  <c r="C196"/>
  <c r="C197"/>
  <c r="C198"/>
  <c r="C199"/>
  <c r="C200"/>
  <c r="C201"/>
  <c r="C202"/>
  <c r="C203"/>
  <c r="C204"/>
  <c r="C205"/>
  <c r="C206"/>
  <c r="C207"/>
  <c r="C184"/>
  <c r="B140"/>
  <c r="B143"/>
  <c r="J147" s="1"/>
  <c r="D187"/>
  <c r="D188"/>
  <c r="D191"/>
  <c r="D192"/>
  <c r="D197"/>
  <c r="D198"/>
  <c r="D199"/>
  <c r="D200"/>
  <c r="D201"/>
  <c r="D202"/>
  <c r="D203"/>
  <c r="D204"/>
  <c r="D205"/>
  <c r="D206"/>
  <c r="D207"/>
  <c r="D184"/>
  <c r="D196"/>
  <c r="D195"/>
  <c r="M4"/>
  <c r="M6"/>
  <c r="M3"/>
  <c r="M5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H162"/>
  <c r="B141"/>
  <c r="B139"/>
  <c r="B137"/>
  <c r="A137"/>
  <c r="C68"/>
  <c r="E60"/>
  <c r="B46"/>
  <c r="B44"/>
  <c r="C35"/>
  <c r="B35"/>
  <c r="F34"/>
  <c r="E34"/>
  <c r="D34"/>
  <c r="F33"/>
  <c r="E33"/>
  <c r="D33"/>
  <c r="F32"/>
  <c r="E32"/>
  <c r="D32"/>
  <c r="F31"/>
  <c r="E31"/>
  <c r="D31"/>
  <c r="F30"/>
  <c r="E30"/>
  <c r="D30"/>
  <c r="F29"/>
  <c r="E29"/>
  <c r="D29"/>
  <c r="F28"/>
  <c r="E28"/>
  <c r="D28"/>
  <c r="F27"/>
  <c r="E27"/>
  <c r="D27"/>
  <c r="F26"/>
  <c r="E26"/>
  <c r="D26"/>
  <c r="F25"/>
  <c r="E25"/>
  <c r="D25"/>
  <c r="F24"/>
  <c r="E24"/>
  <c r="D24"/>
  <c r="F23"/>
  <c r="E23"/>
  <c r="D23"/>
  <c r="F22"/>
  <c r="E22"/>
  <c r="D22"/>
  <c r="F21"/>
  <c r="E21"/>
  <c r="D21"/>
  <c r="F20"/>
  <c r="E20"/>
  <c r="D20"/>
  <c r="F19"/>
  <c r="E19"/>
  <c r="D19"/>
  <c r="F18"/>
  <c r="E18"/>
  <c r="D18"/>
  <c r="F17"/>
  <c r="E17"/>
  <c r="D17"/>
  <c r="F16"/>
  <c r="E16"/>
  <c r="D16"/>
  <c r="F15"/>
  <c r="E15"/>
  <c r="D15"/>
  <c r="F14"/>
  <c r="E14"/>
  <c r="D14"/>
  <c r="F13"/>
  <c r="E13"/>
  <c r="D13"/>
  <c r="F12"/>
  <c r="E12"/>
  <c r="D12"/>
  <c r="F11"/>
  <c r="E11"/>
  <c r="D11"/>
  <c r="F10"/>
  <c r="E10"/>
  <c r="D10"/>
  <c r="F9"/>
  <c r="E9"/>
  <c r="D9"/>
  <c r="F8"/>
  <c r="E8"/>
  <c r="D8"/>
  <c r="F7"/>
  <c r="E7"/>
  <c r="D7"/>
  <c r="F6"/>
  <c r="E6"/>
  <c r="D6"/>
  <c r="F5"/>
  <c r="E5"/>
  <c r="D5"/>
  <c r="F4"/>
  <c r="E4"/>
  <c r="D4"/>
  <c r="F3"/>
  <c r="E3"/>
  <c r="D3"/>
  <c r="J63" i="1"/>
  <c r="M70" s="1"/>
  <c r="J32"/>
  <c r="H293"/>
  <c r="E292"/>
  <c r="E289"/>
  <c r="C243"/>
  <c r="E243"/>
  <c r="C242"/>
  <c r="E242"/>
  <c r="C240"/>
  <c r="E240"/>
  <c r="C239"/>
  <c r="E239"/>
  <c r="C238"/>
  <c r="E238"/>
  <c r="D243"/>
  <c r="D242"/>
  <c r="D240"/>
  <c r="D239"/>
  <c r="D238"/>
  <c r="G251"/>
  <c r="B251"/>
  <c r="B268" s="1"/>
  <c r="A251"/>
  <c r="B270" s="1"/>
  <c r="E250"/>
  <c r="D250"/>
  <c r="C250"/>
  <c r="E249"/>
  <c r="D249"/>
  <c r="C249"/>
  <c r="E248"/>
  <c r="D248"/>
  <c r="C248"/>
  <c r="E247"/>
  <c r="D247"/>
  <c r="C247"/>
  <c r="E246"/>
  <c r="D246"/>
  <c r="C246"/>
  <c r="E245"/>
  <c r="D245"/>
  <c r="C245"/>
  <c r="E244"/>
  <c r="D244"/>
  <c r="C244"/>
  <c r="E241"/>
  <c r="D241"/>
  <c r="C241"/>
  <c r="E237"/>
  <c r="D237"/>
  <c r="C237"/>
  <c r="E236"/>
  <c r="D236"/>
  <c r="C236"/>
  <c r="E235"/>
  <c r="D235"/>
  <c r="C235"/>
  <c r="E234"/>
  <c r="D234"/>
  <c r="C234"/>
  <c r="E233"/>
  <c r="D233"/>
  <c r="C233"/>
  <c r="H226"/>
  <c r="H153"/>
  <c r="B189"/>
  <c r="B206" s="1"/>
  <c r="G189"/>
  <c r="A189"/>
  <c r="B208" s="1"/>
  <c r="E177"/>
  <c r="E178"/>
  <c r="E179"/>
  <c r="E180"/>
  <c r="E181"/>
  <c r="E182"/>
  <c r="E183"/>
  <c r="E184"/>
  <c r="E185"/>
  <c r="E186"/>
  <c r="E187"/>
  <c r="E188"/>
  <c r="E176"/>
  <c r="D177"/>
  <c r="D178"/>
  <c r="D179"/>
  <c r="D180"/>
  <c r="D181"/>
  <c r="D182"/>
  <c r="D183"/>
  <c r="D184"/>
  <c r="D185"/>
  <c r="D186"/>
  <c r="D187"/>
  <c r="D188"/>
  <c r="D176"/>
  <c r="C177"/>
  <c r="C178"/>
  <c r="C179"/>
  <c r="C180"/>
  <c r="C181"/>
  <c r="C182"/>
  <c r="C183"/>
  <c r="C184"/>
  <c r="C185"/>
  <c r="C186"/>
  <c r="C187"/>
  <c r="C188"/>
  <c r="C176"/>
  <c r="E88"/>
  <c r="C96"/>
  <c r="B63"/>
  <c r="C63"/>
  <c r="E105"/>
  <c r="D104"/>
  <c r="B130"/>
  <c r="B132"/>
  <c r="B128"/>
  <c r="A128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E104"/>
  <c r="C104"/>
  <c r="D137" i="2" l="1"/>
  <c r="B45"/>
  <c r="D35"/>
  <c r="C137"/>
  <c r="B142"/>
  <c r="J145" s="1"/>
  <c r="F150" s="1"/>
  <c r="H152" s="1"/>
  <c r="E137"/>
  <c r="B47"/>
  <c r="J50" s="1"/>
  <c r="B48"/>
  <c r="J52" s="1"/>
  <c r="F35"/>
  <c r="E35"/>
  <c r="M72" i="1"/>
  <c r="E251"/>
  <c r="B269" s="1"/>
  <c r="C251"/>
  <c r="B272" s="1"/>
  <c r="J275" s="1"/>
  <c r="D251"/>
  <c r="B271" s="1"/>
  <c r="J273" s="1"/>
  <c r="C189"/>
  <c r="B210" s="1"/>
  <c r="J213" s="1"/>
  <c r="E189"/>
  <c r="B207" s="1"/>
  <c r="D189"/>
  <c r="B209" s="1"/>
  <c r="J211" s="1"/>
  <c r="C128"/>
  <c r="B131"/>
  <c r="E128"/>
  <c r="D128"/>
  <c r="B133"/>
  <c r="J136" s="1"/>
  <c r="B134"/>
  <c r="J138" s="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31"/>
  <c r="B74"/>
  <c r="B72"/>
  <c r="J11"/>
  <c r="J9"/>
  <c r="E159" i="2" l="1"/>
  <c r="E161"/>
  <c r="F55"/>
  <c r="H57" s="1"/>
  <c r="H23" s="1"/>
  <c r="H3"/>
  <c r="E64"/>
  <c r="H32"/>
  <c r="H29"/>
  <c r="H5"/>
  <c r="H22"/>
  <c r="F278" i="1"/>
  <c r="H280" s="1"/>
  <c r="F216"/>
  <c r="H218" s="1"/>
  <c r="E63"/>
  <c r="F63"/>
  <c r="D63"/>
  <c r="F14"/>
  <c r="H16" s="1"/>
  <c r="B22" s="1"/>
  <c r="B73"/>
  <c r="B76"/>
  <c r="J80" s="1"/>
  <c r="B75"/>
  <c r="J78" s="1"/>
  <c r="F141"/>
  <c r="H143" s="1"/>
  <c r="E152" s="1"/>
  <c r="J114" i="2" l="1"/>
  <c r="J120"/>
  <c r="J113"/>
  <c r="J115"/>
  <c r="J122"/>
  <c r="J133"/>
  <c r="J126"/>
  <c r="J127"/>
  <c r="J128"/>
  <c r="J130"/>
  <c r="J119"/>
  <c r="J121"/>
  <c r="J136"/>
  <c r="J131"/>
  <c r="J129"/>
  <c r="J118"/>
  <c r="J124"/>
  <c r="J117"/>
  <c r="J134"/>
  <c r="J135"/>
  <c r="J132"/>
  <c r="J116"/>
  <c r="J123"/>
  <c r="J125"/>
  <c r="J29"/>
  <c r="K29"/>
  <c r="L29" s="1"/>
  <c r="J3"/>
  <c r="K3"/>
  <c r="L3" s="1"/>
  <c r="J5"/>
  <c r="K5"/>
  <c r="L5" s="1"/>
  <c r="J22"/>
  <c r="K22"/>
  <c r="L22" s="1"/>
  <c r="J32"/>
  <c r="K32"/>
  <c r="L32" s="1"/>
  <c r="J23"/>
  <c r="K23"/>
  <c r="L23" s="1"/>
  <c r="H16"/>
  <c r="H19"/>
  <c r="H14"/>
  <c r="H34"/>
  <c r="H25"/>
  <c r="H12"/>
  <c r="H28"/>
  <c r="H18"/>
  <c r="H33"/>
  <c r="H15"/>
  <c r="H31"/>
  <c r="H6"/>
  <c r="H30"/>
  <c r="H17"/>
  <c r="H8"/>
  <c r="H24"/>
  <c r="H10"/>
  <c r="H21"/>
  <c r="H11"/>
  <c r="H27"/>
  <c r="H26"/>
  <c r="H9"/>
  <c r="H4"/>
  <c r="H20"/>
  <c r="E71"/>
  <c r="H72" s="1"/>
  <c r="H13"/>
  <c r="H7"/>
  <c r="H73"/>
  <c r="F235" i="1"/>
  <c r="H235" s="1"/>
  <c r="F239"/>
  <c r="H239" s="1"/>
  <c r="F243"/>
  <c r="H243" s="1"/>
  <c r="F247"/>
  <c r="H247" s="1"/>
  <c r="F233"/>
  <c r="F240"/>
  <c r="H240" s="1"/>
  <c r="F244"/>
  <c r="H244" s="1"/>
  <c r="F248"/>
  <c r="H248" s="1"/>
  <c r="F234"/>
  <c r="H234" s="1"/>
  <c r="F238"/>
  <c r="H238" s="1"/>
  <c r="F242"/>
  <c r="H242" s="1"/>
  <c r="F246"/>
  <c r="H246" s="1"/>
  <c r="F250"/>
  <c r="H250" s="1"/>
  <c r="F237"/>
  <c r="H237" s="1"/>
  <c r="F241"/>
  <c r="H241" s="1"/>
  <c r="F245"/>
  <c r="H245" s="1"/>
  <c r="F249"/>
  <c r="H249" s="1"/>
  <c r="F236"/>
  <c r="H236" s="1"/>
  <c r="E228"/>
  <c r="E225"/>
  <c r="F178"/>
  <c r="H178" s="1"/>
  <c r="F182"/>
  <c r="H182" s="1"/>
  <c r="F186"/>
  <c r="H186" s="1"/>
  <c r="F177"/>
  <c r="H177" s="1"/>
  <c r="F185"/>
  <c r="H185" s="1"/>
  <c r="F188"/>
  <c r="H188" s="1"/>
  <c r="F179"/>
  <c r="H179" s="1"/>
  <c r="F183"/>
  <c r="H183" s="1"/>
  <c r="F187"/>
  <c r="H187" s="1"/>
  <c r="F181"/>
  <c r="H181" s="1"/>
  <c r="F176"/>
  <c r="H176" s="1"/>
  <c r="F180"/>
  <c r="H180" s="1"/>
  <c r="F184"/>
  <c r="H184" s="1"/>
  <c r="F83"/>
  <c r="H85" s="1"/>
  <c r="F106"/>
  <c r="H106" s="1"/>
  <c r="F110"/>
  <c r="H110" s="1"/>
  <c r="F114"/>
  <c r="H114" s="1"/>
  <c r="F118"/>
  <c r="H118" s="1"/>
  <c r="F122"/>
  <c r="H122" s="1"/>
  <c r="F126"/>
  <c r="H126" s="1"/>
  <c r="F105"/>
  <c r="H105" s="1"/>
  <c r="F109"/>
  <c r="H109" s="1"/>
  <c r="F113"/>
  <c r="H113" s="1"/>
  <c r="F117"/>
  <c r="H117" s="1"/>
  <c r="F121"/>
  <c r="H121" s="1"/>
  <c r="F125"/>
  <c r="H125" s="1"/>
  <c r="F111"/>
  <c r="H111" s="1"/>
  <c r="F119"/>
  <c r="H119" s="1"/>
  <c r="F127"/>
  <c r="H127" s="1"/>
  <c r="E150"/>
  <c r="F108"/>
  <c r="H108" s="1"/>
  <c r="F112"/>
  <c r="H112" s="1"/>
  <c r="F116"/>
  <c r="H116" s="1"/>
  <c r="F120"/>
  <c r="H120" s="1"/>
  <c r="F124"/>
  <c r="H124" s="1"/>
  <c r="F104"/>
  <c r="H104" s="1"/>
  <c r="F107"/>
  <c r="H107" s="1"/>
  <c r="F115"/>
  <c r="H115" s="1"/>
  <c r="F123"/>
  <c r="H123" s="1"/>
  <c r="B26"/>
  <c r="H137" i="2" l="1"/>
  <c r="D156" s="1"/>
  <c r="E157" s="1"/>
  <c r="J26"/>
  <c r="K26"/>
  <c r="L26" s="1"/>
  <c r="J10"/>
  <c r="K10"/>
  <c r="L10" s="1"/>
  <c r="J30"/>
  <c r="K30"/>
  <c r="L30" s="1"/>
  <c r="J33"/>
  <c r="K33"/>
  <c r="L33" s="1"/>
  <c r="J25"/>
  <c r="K25"/>
  <c r="L25" s="1"/>
  <c r="J16"/>
  <c r="K16"/>
  <c r="L16" s="1"/>
  <c r="J13"/>
  <c r="K13"/>
  <c r="L13" s="1"/>
  <c r="J9"/>
  <c r="K9"/>
  <c r="L9" s="1"/>
  <c r="J21"/>
  <c r="K21"/>
  <c r="L21" s="1"/>
  <c r="J17"/>
  <c r="K17"/>
  <c r="L17" s="1"/>
  <c r="J15"/>
  <c r="K15"/>
  <c r="L15" s="1"/>
  <c r="J12"/>
  <c r="K12"/>
  <c r="L12" s="1"/>
  <c r="J19"/>
  <c r="K19"/>
  <c r="L19" s="1"/>
  <c r="J7"/>
  <c r="K7"/>
  <c r="L7" s="1"/>
  <c r="J4"/>
  <c r="K4"/>
  <c r="L4" s="1"/>
  <c r="J11"/>
  <c r="K11"/>
  <c r="L11" s="1"/>
  <c r="J8"/>
  <c r="K8"/>
  <c r="L8" s="1"/>
  <c r="J31"/>
  <c r="K31"/>
  <c r="L31" s="1"/>
  <c r="J28"/>
  <c r="K28"/>
  <c r="L28" s="1"/>
  <c r="J14"/>
  <c r="K14"/>
  <c r="L14" s="1"/>
  <c r="J20"/>
  <c r="K20"/>
  <c r="L20" s="1"/>
  <c r="J27"/>
  <c r="K27"/>
  <c r="L27" s="1"/>
  <c r="J24"/>
  <c r="K24"/>
  <c r="L24" s="1"/>
  <c r="J6"/>
  <c r="K6"/>
  <c r="L6" s="1"/>
  <c r="J18"/>
  <c r="K18"/>
  <c r="L18" s="1"/>
  <c r="J34"/>
  <c r="K34"/>
  <c r="L34" s="1"/>
  <c r="H233" i="1"/>
  <c r="H251" s="1"/>
  <c r="D285" s="1"/>
  <c r="E286" s="1"/>
  <c r="F251"/>
  <c r="H189"/>
  <c r="D221" s="1"/>
  <c r="E222" s="1"/>
  <c r="F189"/>
  <c r="E92"/>
  <c r="H34"/>
  <c r="J34" s="1"/>
  <c r="H38"/>
  <c r="J38" s="1"/>
  <c r="H42"/>
  <c r="J42" s="1"/>
  <c r="H46"/>
  <c r="J46" s="1"/>
  <c r="H50"/>
  <c r="J50" s="1"/>
  <c r="H54"/>
  <c r="J54" s="1"/>
  <c r="H58"/>
  <c r="J58" s="1"/>
  <c r="H62"/>
  <c r="J62" s="1"/>
  <c r="H32"/>
  <c r="H47"/>
  <c r="J47" s="1"/>
  <c r="H55"/>
  <c r="J55" s="1"/>
  <c r="H31"/>
  <c r="J31" s="1"/>
  <c r="H33"/>
  <c r="J33" s="1"/>
  <c r="H37"/>
  <c r="J37" s="1"/>
  <c r="H41"/>
  <c r="J41" s="1"/>
  <c r="H45"/>
  <c r="J45" s="1"/>
  <c r="H49"/>
  <c r="J49" s="1"/>
  <c r="H53"/>
  <c r="J53" s="1"/>
  <c r="H57"/>
  <c r="J57" s="1"/>
  <c r="H61"/>
  <c r="J61" s="1"/>
  <c r="H36"/>
  <c r="J36" s="1"/>
  <c r="H40"/>
  <c r="J40" s="1"/>
  <c r="H44"/>
  <c r="J44" s="1"/>
  <c r="H48"/>
  <c r="J48" s="1"/>
  <c r="H52"/>
  <c r="J52" s="1"/>
  <c r="H56"/>
  <c r="J56" s="1"/>
  <c r="H60"/>
  <c r="J60" s="1"/>
  <c r="H35"/>
  <c r="J35" s="1"/>
  <c r="H39"/>
  <c r="J39" s="1"/>
  <c r="H43"/>
  <c r="J43" s="1"/>
  <c r="H51"/>
  <c r="J51" s="1"/>
  <c r="H59"/>
  <c r="J59" s="1"/>
  <c r="E99"/>
  <c r="H128"/>
  <c r="D147" s="1"/>
  <c r="E148" s="1"/>
  <c r="J35" i="2" l="1"/>
  <c r="J76" s="1"/>
  <c r="H101" i="1"/>
  <c r="H100"/>
</calcChain>
</file>

<file path=xl/sharedStrings.xml><?xml version="1.0" encoding="utf-8"?>
<sst xmlns="http://schemas.openxmlformats.org/spreadsheetml/2006/main" count="383" uniqueCount="116">
  <si>
    <t>Problem 11-2</t>
  </si>
  <si>
    <t>n=</t>
  </si>
  <si>
    <r>
      <t>∑ y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=</t>
    </r>
  </si>
  <si>
    <r>
      <t>∑ y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²=</t>
    </r>
  </si>
  <si>
    <r>
      <t>∑ x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=</t>
    </r>
  </si>
  <si>
    <r>
      <t>∑ x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²=</t>
    </r>
  </si>
  <si>
    <t>a)</t>
  </si>
  <si>
    <r>
      <rPr>
        <sz val="11"/>
        <color theme="1"/>
        <rFont val="Calibri"/>
        <family val="2"/>
        <scheme val="minor"/>
      </rPr>
      <t>S</t>
    </r>
    <r>
      <rPr>
        <vertAlign val="subscript"/>
        <sz val="11"/>
        <color theme="1"/>
        <rFont val="Calibri"/>
        <family val="2"/>
        <scheme val="minor"/>
      </rPr>
      <t>xx</t>
    </r>
    <r>
      <rPr>
        <sz val="11"/>
        <color theme="1"/>
        <rFont val="Calibri"/>
        <family val="2"/>
        <scheme val="minor"/>
      </rPr>
      <t xml:space="preserve"> =</t>
    </r>
  </si>
  <si>
    <r>
      <t>(∑ x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)²</t>
    </r>
  </si>
  <si>
    <t>n</t>
  </si>
  <si>
    <r>
      <t>∑ x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² - </t>
    </r>
  </si>
  <si>
    <t xml:space="preserve">  = (143215.8)-(1478)²/20 =</t>
  </si>
  <si>
    <r>
      <rPr>
        <sz val="11"/>
        <color theme="1"/>
        <rFont val="Calibri"/>
        <family val="2"/>
        <scheme val="minor"/>
      </rPr>
      <t>S</t>
    </r>
    <r>
      <rPr>
        <vertAlign val="subscript"/>
        <sz val="11"/>
        <color theme="1"/>
        <rFont val="Calibri"/>
        <family val="2"/>
        <scheme val="minor"/>
      </rPr>
      <t>xy</t>
    </r>
    <r>
      <rPr>
        <sz val="11"/>
        <color theme="1"/>
        <rFont val="Calibri"/>
        <family val="2"/>
        <scheme val="minor"/>
      </rPr>
      <t xml:space="preserve"> =</t>
    </r>
  </si>
  <si>
    <r>
      <t>∑ x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y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=</t>
    </r>
  </si>
  <si>
    <r>
      <t>(∑ x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)(∑ y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)</t>
    </r>
  </si>
  <si>
    <r>
      <t>∑ x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y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i/>
        <sz val="11"/>
        <color theme="1"/>
        <rFont val="Calibri"/>
        <family val="2"/>
        <scheme val="minor"/>
      </rPr>
      <t xml:space="preserve"> -</t>
    </r>
    <r>
      <rPr>
        <i/>
        <vertAlign val="subscript"/>
        <sz val="11"/>
        <color theme="1"/>
        <rFont val="Calibri"/>
        <family val="2"/>
        <scheme val="minor"/>
      </rPr>
      <t xml:space="preserve"> </t>
    </r>
  </si>
  <si>
    <t xml:space="preserve">  = (1083.67)-(1478)(12.75)/20 =</t>
  </si>
  <si>
    <r>
      <t>S</t>
    </r>
    <r>
      <rPr>
        <vertAlign val="subscript"/>
        <sz val="11"/>
        <color theme="1"/>
        <rFont val="Calibri"/>
        <family val="2"/>
        <scheme val="minor"/>
      </rPr>
      <t>xy</t>
    </r>
    <r>
      <rPr>
        <sz val="11"/>
        <color theme="1"/>
        <rFont val="Calibri"/>
        <family val="2"/>
        <scheme val="minor"/>
      </rPr>
      <t xml:space="preserve"> / S</t>
    </r>
    <r>
      <rPr>
        <vertAlign val="subscript"/>
        <sz val="11"/>
        <color theme="1"/>
        <rFont val="Calibri"/>
        <family val="2"/>
        <scheme val="minor"/>
      </rPr>
      <t>xx</t>
    </r>
    <r>
      <rPr>
        <sz val="11"/>
        <color theme="1"/>
        <rFont val="Calibri"/>
        <family val="2"/>
        <scheme val="minor"/>
      </rPr>
      <t xml:space="preserve"> =</t>
    </r>
  </si>
  <si>
    <t xml:space="preserve">141.445/33991.6  = </t>
  </si>
  <si>
    <t>and</t>
  </si>
  <si>
    <r>
      <t>ß</t>
    </r>
    <r>
      <rPr>
        <vertAlign val="superscript"/>
        <sz val="11"/>
        <color theme="1"/>
        <rFont val="Calibri"/>
        <family val="2"/>
        <scheme val="minor"/>
      </rPr>
      <t>^</t>
    </r>
    <r>
      <rPr>
        <vertAlign val="subscript"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 = </t>
    </r>
  </si>
  <si>
    <r>
      <t>ß</t>
    </r>
    <r>
      <rPr>
        <vertAlign val="superscript"/>
        <sz val="11"/>
        <color theme="1"/>
        <rFont val="Calibri"/>
        <family val="2"/>
        <scheme val="minor"/>
      </rPr>
      <t>^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 =</t>
    </r>
  </si>
  <si>
    <r>
      <t>ӯ - ß</t>
    </r>
    <r>
      <rPr>
        <vertAlign val="superscript"/>
        <sz val="11"/>
        <color theme="1"/>
        <rFont val="Calibri"/>
        <family val="2"/>
      </rPr>
      <t>^</t>
    </r>
    <r>
      <rPr>
        <vertAlign val="subscript"/>
        <sz val="11"/>
        <color theme="1"/>
        <rFont val="Calibri"/>
        <family val="2"/>
      </rPr>
      <t>1</t>
    </r>
    <r>
      <rPr>
        <sz val="11"/>
        <color theme="1"/>
        <rFont val="Calibri"/>
        <family val="2"/>
      </rPr>
      <t>x̄ =</t>
    </r>
  </si>
  <si>
    <t xml:space="preserve">(12.75/20) - 0.00416 (1478/20)=  </t>
  </si>
  <si>
    <t>ŷ =</t>
  </si>
  <si>
    <t>0.00416 + 0.33x</t>
  </si>
  <si>
    <t>b)</t>
  </si>
  <si>
    <t>85 degree F</t>
  </si>
  <si>
    <t>0.00416 + 0.33(85)</t>
  </si>
  <si>
    <t xml:space="preserve"> =</t>
  </si>
  <si>
    <t>c)</t>
  </si>
  <si>
    <t>90 degree F</t>
  </si>
  <si>
    <t>0.00416 + 0.33(90)</t>
  </si>
  <si>
    <t>d)</t>
  </si>
  <si>
    <t>we would expect .33 deflaection with 1 degree F change in surface temperature</t>
  </si>
  <si>
    <t>Problem 11-3</t>
  </si>
  <si>
    <t xml:space="preserve">  = (1583.4421)-(223.93)²/32 =</t>
  </si>
  <si>
    <t>x=</t>
  </si>
  <si>
    <t>It will require 1.013889 yards per attempt</t>
  </si>
  <si>
    <t>e)</t>
  </si>
  <si>
    <r>
      <t>SS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=</t>
    </r>
  </si>
  <si>
    <r>
      <t>∑ e²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=</t>
    </r>
  </si>
  <si>
    <t>Yard attempt</t>
  </si>
  <si>
    <t>rating pt</t>
  </si>
  <si>
    <t>x</t>
  </si>
  <si>
    <r>
      <t>x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y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</si>
  <si>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 xml:space="preserve"> x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²</t>
    </r>
  </si>
  <si>
    <r>
      <t>y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²</t>
    </r>
  </si>
  <si>
    <t>Problem 11-4</t>
  </si>
  <si>
    <t>sales price /1000</t>
  </si>
  <si>
    <t>Taxes / 1000</t>
  </si>
  <si>
    <r>
      <t>∑ (y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- ŷ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)² =</t>
    </r>
  </si>
  <si>
    <r>
      <t>(y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- ŷ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)²</t>
    </r>
  </si>
  <si>
    <r>
      <t>SS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/n-2</t>
    </r>
  </si>
  <si>
    <r>
      <t>σ</t>
    </r>
    <r>
      <rPr>
        <vertAlign val="superscript"/>
        <sz val="11"/>
        <color theme="1"/>
        <rFont val="Calibri"/>
        <family val="2"/>
        <scheme val="minor"/>
      </rPr>
      <t>^2</t>
    </r>
    <r>
      <rPr>
        <sz val="11"/>
        <color theme="1"/>
        <rFont val="Calibri"/>
        <family val="2"/>
        <scheme val="minor"/>
      </rPr>
      <t xml:space="preserve"> = </t>
    </r>
  </si>
  <si>
    <t xml:space="preserve">  = (1042.114108)-(153.718)²/24 =</t>
  </si>
  <si>
    <t xml:space="preserve">   = (5511.92548)-(153.718)(830.7)/24 =</t>
  </si>
  <si>
    <t xml:space="preserve">191.3612/57.56313  = </t>
  </si>
  <si>
    <t xml:space="preserve">(830.7/24) - 0.23082 (153.718/24)=  </t>
  </si>
  <si>
    <t>13.32017928   +   3.32437 x</t>
  </si>
  <si>
    <r>
      <t xml:space="preserve"> ŷ</t>
    </r>
    <r>
      <rPr>
        <vertAlign val="subscript"/>
        <sz val="11"/>
        <color theme="1"/>
        <rFont val="Calibri"/>
        <family val="2"/>
        <scheme val="minor"/>
      </rPr>
      <t>i</t>
    </r>
  </si>
  <si>
    <t xml:space="preserve"> = 192.8906/(24-2)  =</t>
  </si>
  <si>
    <t>13.32017928   +   3.32437 (7.50)  =</t>
  </si>
  <si>
    <t xml:space="preserve">13.32017928 + 3.32437(5.8980) = </t>
  </si>
  <si>
    <t>ŷ calculated at above table.</t>
  </si>
  <si>
    <t>graph indicate generally straight line thus it is an effective regressor variable in predicting selling</t>
  </si>
  <si>
    <t>price.</t>
  </si>
  <si>
    <t>Problem 11-7</t>
  </si>
  <si>
    <t xml:space="preserve">   = (19158.489)-(223.93)(2714.1)/32 =</t>
  </si>
  <si>
    <t xml:space="preserve">165.7261/16.42195  = </t>
  </si>
  <si>
    <t>14.19548847 + 10.0917x</t>
  </si>
  <si>
    <r>
      <t>SS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/ n-2  = </t>
    </r>
  </si>
  <si>
    <t xml:space="preserve">(2734.1/32) - 10.0917 (223.93/32)=  </t>
  </si>
  <si>
    <t xml:space="preserve">14.19548847+10.0917(7.5) = </t>
  </si>
  <si>
    <t xml:space="preserve">10/10.0917 = </t>
  </si>
  <si>
    <t xml:space="preserve"> =817.0568/30  =</t>
  </si>
  <si>
    <t>decrease of one yard per attempt will result in -10.0917 rating point</t>
  </si>
  <si>
    <t xml:space="preserve">14.19548847+10.0917(7.21) = </t>
  </si>
  <si>
    <r>
      <t>e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=</t>
    </r>
  </si>
  <si>
    <r>
      <t>(y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- ŷ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)</t>
    </r>
    <r>
      <rPr>
        <vertAlign val="subscript"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=</t>
    </r>
  </si>
  <si>
    <t xml:space="preserve"> (95 - 86.957) =</t>
  </si>
  <si>
    <t xml:space="preserve"> (90.2 - 86.957) =</t>
  </si>
  <si>
    <t>y</t>
  </si>
  <si>
    <t xml:space="preserve"> -16.5093   +   0.0693554 x</t>
  </si>
  <si>
    <t>x= 910  y =48</t>
  </si>
  <si>
    <t xml:space="preserve"> (30.9 - 32.9273)=</t>
  </si>
  <si>
    <r>
      <t>(y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- ŷ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)</t>
    </r>
    <r>
      <rPr>
        <vertAlign val="subscript"/>
        <sz val="11"/>
        <color theme="1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>=</t>
    </r>
  </si>
  <si>
    <t xml:space="preserve"> -16.59093 + 0.0693554(910) = </t>
  </si>
  <si>
    <t xml:space="preserve"> (48- 46.6041)=</t>
  </si>
  <si>
    <t xml:space="preserve"> -16.59093 + 0.0693554(950) = </t>
  </si>
  <si>
    <t>Problem 11-10</t>
  </si>
  <si>
    <t>0.470466846   +   20.5673 x</t>
  </si>
  <si>
    <t>Simple linear line seems appropriate here because plots are generally linear.</t>
  </si>
  <si>
    <t xml:space="preserve">x= 1 </t>
  </si>
  <si>
    <t>0.470466846   +   20.5673 (1) =</t>
  </si>
  <si>
    <t>x=0.47</t>
  </si>
  <si>
    <t>0.470466846   +   20.5673 (0.47) =</t>
  </si>
  <si>
    <t xml:space="preserve"> (11.8- 10.1371)=</t>
  </si>
  <si>
    <t>R² =</t>
  </si>
  <si>
    <t>The Model accounts for 67% of the variability in the data</t>
  </si>
  <si>
    <r>
      <t>e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=</t>
    </r>
  </si>
  <si>
    <r>
      <t>d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=</t>
    </r>
  </si>
  <si>
    <t>Sum</t>
  </si>
  <si>
    <t>Problem 11-53</t>
  </si>
  <si>
    <r>
      <t>1- (SS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/(SS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+ ß^1 *Sxy))</t>
    </r>
  </si>
  <si>
    <t>i</t>
  </si>
  <si>
    <r>
      <t>e</t>
    </r>
    <r>
      <rPr>
        <vertAlign val="subscript"/>
        <sz val="11"/>
        <color theme="1"/>
        <rFont val="Calibri"/>
        <family val="2"/>
        <scheme val="minor"/>
      </rPr>
      <t xml:space="preserve">i </t>
    </r>
    <r>
      <rPr>
        <sz val="11"/>
        <color theme="1"/>
        <rFont val="Calibri"/>
        <family val="2"/>
        <scheme val="minor"/>
      </rPr>
      <t>=</t>
    </r>
  </si>
  <si>
    <t>Sir,  I think I did below plots correctly but it appears different from the answer book.</t>
  </si>
  <si>
    <t>1-(817.0568/(817.0568+(10.0917)(165.7261) =</t>
  </si>
  <si>
    <r>
      <t>d</t>
    </r>
    <r>
      <rPr>
        <vertAlign val="subscript"/>
        <sz val="11"/>
        <color theme="1"/>
        <rFont val="Calibri"/>
        <family val="2"/>
        <scheme val="minor"/>
      </rPr>
      <t>j</t>
    </r>
    <r>
      <rPr>
        <sz val="11"/>
        <color theme="1"/>
        <rFont val="Calibri"/>
        <family val="2"/>
        <scheme val="minor"/>
      </rPr>
      <t xml:space="preserve"> =</t>
    </r>
  </si>
  <si>
    <t>percentage</t>
  </si>
  <si>
    <t>%</t>
  </si>
  <si>
    <t>There is no major departure from the normality assumption in the above graph</t>
  </si>
  <si>
    <t>The assumption of constant variance appears reasonable</t>
  </si>
  <si>
    <t xml:space="preserve"> =1-(192.89/(192.89+(13.32)(191.36) =</t>
  </si>
  <si>
    <t>92.97% of the variability is explained by the regression model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</si>
</sst>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i/>
      <vertAlign val="subscript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</font>
    <font>
      <vertAlign val="subscript"/>
      <sz val="11"/>
      <color theme="1"/>
      <name val="Calibri"/>
      <family val="2"/>
    </font>
    <font>
      <sz val="12"/>
      <color rgb="FF222222"/>
      <name val="Arial"/>
      <family val="2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" fillId="0" borderId="0" xfId="0" applyFont="1"/>
    <xf numFmtId="0" fontId="8" fillId="0" borderId="0" xfId="0" applyFont="1" applyAlignment="1">
      <alignment horizontal="right"/>
    </xf>
    <xf numFmtId="16" fontId="0" fillId="0" borderId="0" xfId="0" applyNumberFormat="1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Alignment="1"/>
    <xf numFmtId="0" fontId="0" fillId="0" borderId="0" xfId="0" applyAlignment="1">
      <alignment horizontal="right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/>
    <xf numFmtId="0" fontId="0" fillId="0" borderId="0" xfId="0" applyBorder="1" applyAlignment="1">
      <alignment horizontal="right"/>
    </xf>
    <xf numFmtId="0" fontId="0" fillId="0" borderId="0" xfId="0" applyBorder="1"/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right"/>
    </xf>
    <xf numFmtId="0" fontId="0" fillId="0" borderId="0" xfId="0" applyAlignment="1">
      <alignment horizontal="left"/>
    </xf>
    <xf numFmtId="0" fontId="0" fillId="3" borderId="1" xfId="0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0" fontId="0" fillId="8" borderId="0" xfId="0" applyFill="1"/>
    <xf numFmtId="0" fontId="0" fillId="9" borderId="0" xfId="0" applyFill="1" applyAlignment="1"/>
    <xf numFmtId="0" fontId="0" fillId="9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9" borderId="0" xfId="0" applyFill="1"/>
    <xf numFmtId="0" fontId="0" fillId="9" borderId="1" xfId="0" applyFill="1" applyBorder="1" applyAlignment="1">
      <alignment horizontal="right"/>
    </xf>
    <xf numFmtId="0" fontId="0" fillId="9" borderId="1" xfId="0" applyFill="1" applyBorder="1"/>
    <xf numFmtId="0" fontId="0" fillId="9" borderId="0" xfId="0" applyFill="1" applyBorder="1" applyAlignment="1">
      <alignment horizontal="right"/>
    </xf>
    <xf numFmtId="0" fontId="0" fillId="9" borderId="0" xfId="0" applyFill="1" applyBorder="1"/>
    <xf numFmtId="0" fontId="0" fillId="9" borderId="0" xfId="0" applyFill="1" applyAlignment="1">
      <alignment horizontal="right"/>
    </xf>
    <xf numFmtId="0" fontId="0" fillId="9" borderId="0" xfId="0" applyFill="1" applyAlignment="1">
      <alignment horizontal="left"/>
    </xf>
    <xf numFmtId="0" fontId="0" fillId="9" borderId="0" xfId="0" applyFill="1" applyAlignment="1">
      <alignment horizontal="center"/>
    </xf>
    <xf numFmtId="0" fontId="0" fillId="9" borderId="0" xfId="0" applyFill="1" applyAlignment="1">
      <alignment vertical="top"/>
    </xf>
    <xf numFmtId="0" fontId="0" fillId="9" borderId="0" xfId="0" applyFont="1" applyFill="1" applyAlignment="1">
      <alignment horizontal="center" vertical="top"/>
    </xf>
    <xf numFmtId="0" fontId="0" fillId="9" borderId="0" xfId="0" applyFill="1" applyAlignment="1">
      <alignment horizontal="center" vertical="top"/>
    </xf>
    <xf numFmtId="0" fontId="1" fillId="9" borderId="0" xfId="0" applyFont="1" applyFill="1"/>
    <xf numFmtId="0" fontId="8" fillId="9" borderId="0" xfId="0" applyFont="1" applyFill="1" applyAlignment="1">
      <alignment horizontal="right"/>
    </xf>
    <xf numFmtId="0" fontId="0" fillId="10" borderId="0" xfId="0" applyFill="1" applyAlignment="1"/>
    <xf numFmtId="0" fontId="0" fillId="10" borderId="0" xfId="0" applyFill="1"/>
    <xf numFmtId="0" fontId="0" fillId="11" borderId="1" xfId="0" applyFill="1" applyBorder="1" applyAlignment="1">
      <alignment horizontal="right"/>
    </xf>
    <xf numFmtId="0" fontId="0" fillId="11" borderId="0" xfId="0" applyFill="1"/>
    <xf numFmtId="0" fontId="0" fillId="12" borderId="0" xfId="0" applyFill="1" applyAlignment="1"/>
    <xf numFmtId="0" fontId="0" fillId="13" borderId="0" xfId="0" applyFill="1" applyAlignment="1">
      <alignment horizontal="left"/>
    </xf>
    <xf numFmtId="0" fontId="0" fillId="13" borderId="0" xfId="0" applyFill="1"/>
    <xf numFmtId="0" fontId="0" fillId="13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/>
    </xf>
    <xf numFmtId="0" fontId="0" fillId="13" borderId="1" xfId="0" applyFill="1" applyBorder="1"/>
    <xf numFmtId="0" fontId="0" fillId="13" borderId="1" xfId="0" applyFill="1" applyBorder="1" applyAlignment="1">
      <alignment horizontal="right"/>
    </xf>
    <xf numFmtId="0" fontId="0" fillId="13" borderId="0" xfId="0" applyFill="1" applyAlignment="1">
      <alignment horizontal="right"/>
    </xf>
    <xf numFmtId="0" fontId="0" fillId="13" borderId="0" xfId="0" applyFill="1" applyAlignment="1">
      <alignment horizontal="center"/>
    </xf>
    <xf numFmtId="0" fontId="0" fillId="13" borderId="0" xfId="0" applyFill="1" applyAlignment="1">
      <alignment vertical="top"/>
    </xf>
    <xf numFmtId="0" fontId="0" fillId="13" borderId="0" xfId="0" applyFont="1" applyFill="1" applyAlignment="1">
      <alignment horizontal="center" vertical="top"/>
    </xf>
    <xf numFmtId="0" fontId="0" fillId="13" borderId="0" xfId="0" applyFill="1" applyAlignment="1">
      <alignment horizontal="center" vertical="top"/>
    </xf>
    <xf numFmtId="0" fontId="1" fillId="13" borderId="0" xfId="0" applyFont="1" applyFill="1"/>
    <xf numFmtId="0" fontId="8" fillId="13" borderId="0" xfId="0" applyFont="1" applyFill="1" applyAlignment="1">
      <alignment horizontal="right"/>
    </xf>
    <xf numFmtId="0" fontId="0" fillId="7" borderId="1" xfId="0" applyFill="1" applyBorder="1" applyAlignment="1">
      <alignment horizontal="right"/>
    </xf>
    <xf numFmtId="0" fontId="9" fillId="0" borderId="0" xfId="0" applyFont="1" applyAlignment="1"/>
    <xf numFmtId="0" fontId="0" fillId="5" borderId="1" xfId="0" applyFill="1" applyBorder="1"/>
    <xf numFmtId="0" fontId="0" fillId="7" borderId="2" xfId="0" applyFill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13" borderId="0" xfId="0" applyFill="1" applyAlignment="1">
      <alignment horizontal="center" vertical="center"/>
    </xf>
    <xf numFmtId="0" fontId="0" fillId="13" borderId="0" xfId="0" applyFill="1" applyAlignment="1">
      <alignment horizontal="left"/>
    </xf>
    <xf numFmtId="0" fontId="2" fillId="13" borderId="0" xfId="0" applyFont="1" applyFill="1" applyAlignment="1">
      <alignment horizontal="right" vertical="center"/>
    </xf>
    <xf numFmtId="0" fontId="0" fillId="13" borderId="0" xfId="0" applyFill="1" applyAlignment="1">
      <alignment horizontal="right" vertical="center"/>
    </xf>
    <xf numFmtId="0" fontId="0" fillId="9" borderId="0" xfId="0" applyFill="1" applyAlignment="1">
      <alignment horizontal="right"/>
    </xf>
    <xf numFmtId="0" fontId="2" fillId="9" borderId="0" xfId="0" applyFont="1" applyFill="1" applyAlignment="1">
      <alignment horizontal="right" vertical="center"/>
    </xf>
    <xf numFmtId="0" fontId="0" fillId="9" borderId="0" xfId="0" applyFill="1" applyAlignment="1">
      <alignment horizontal="right" vertical="center"/>
    </xf>
    <xf numFmtId="0" fontId="0" fillId="9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scatterChart>
        <c:scatterStyle val="lineMarker"/>
        <c:ser>
          <c:idx val="0"/>
          <c:order val="0"/>
          <c:tx>
            <c:strRef>
              <c:f>Week3!$B$103</c:f>
              <c:strCache>
                <c:ptCount val="1"/>
                <c:pt idx="0">
                  <c:v>sales price /1000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</c:trendline>
          <c:xVal>
            <c:numRef>
              <c:f>Week3!$A$104:$A$127</c:f>
              <c:numCache>
                <c:formatCode>General</c:formatCode>
                <c:ptCount val="24"/>
                <c:pt idx="0">
                  <c:v>4.9176000000000002</c:v>
                </c:pt>
                <c:pt idx="1">
                  <c:v>5.0208000000000004</c:v>
                </c:pt>
                <c:pt idx="2">
                  <c:v>4.5429000000000004</c:v>
                </c:pt>
                <c:pt idx="3">
                  <c:v>4.5572999999999997</c:v>
                </c:pt>
                <c:pt idx="4">
                  <c:v>5.0597000000000003</c:v>
                </c:pt>
                <c:pt idx="5">
                  <c:v>3.891</c:v>
                </c:pt>
                <c:pt idx="6">
                  <c:v>5.8979999999999997</c:v>
                </c:pt>
                <c:pt idx="7">
                  <c:v>5.6039000000000003</c:v>
                </c:pt>
                <c:pt idx="8">
                  <c:v>5.8281999999999998</c:v>
                </c:pt>
                <c:pt idx="9">
                  <c:v>5.3003</c:v>
                </c:pt>
                <c:pt idx="10">
                  <c:v>6.2712000000000003</c:v>
                </c:pt>
                <c:pt idx="11">
                  <c:v>5.9592000000000001</c:v>
                </c:pt>
                <c:pt idx="12">
                  <c:v>5.05</c:v>
                </c:pt>
                <c:pt idx="13">
                  <c:v>8.2463999999999995</c:v>
                </c:pt>
                <c:pt idx="14">
                  <c:v>6.6969000000000003</c:v>
                </c:pt>
                <c:pt idx="15">
                  <c:v>7.7840999999999996</c:v>
                </c:pt>
                <c:pt idx="16">
                  <c:v>9.0383999999999993</c:v>
                </c:pt>
                <c:pt idx="17">
                  <c:v>5.9893999999999998</c:v>
                </c:pt>
                <c:pt idx="18">
                  <c:v>7.5422000000000002</c:v>
                </c:pt>
                <c:pt idx="19">
                  <c:v>8.7950999999999997</c:v>
                </c:pt>
                <c:pt idx="20">
                  <c:v>6.0831</c:v>
                </c:pt>
                <c:pt idx="21">
                  <c:v>8.3606999999999996</c:v>
                </c:pt>
                <c:pt idx="22">
                  <c:v>8.14</c:v>
                </c:pt>
                <c:pt idx="23">
                  <c:v>9.1416000000000004</c:v>
                </c:pt>
              </c:numCache>
            </c:numRef>
          </c:xVal>
          <c:yVal>
            <c:numRef>
              <c:f>Week3!$B$104:$B$127</c:f>
              <c:numCache>
                <c:formatCode>General</c:formatCode>
                <c:ptCount val="24"/>
                <c:pt idx="0">
                  <c:v>25.9</c:v>
                </c:pt>
                <c:pt idx="1">
                  <c:v>29.5</c:v>
                </c:pt>
                <c:pt idx="2">
                  <c:v>27.9</c:v>
                </c:pt>
                <c:pt idx="3">
                  <c:v>25.9</c:v>
                </c:pt>
                <c:pt idx="4">
                  <c:v>29.9</c:v>
                </c:pt>
                <c:pt idx="5">
                  <c:v>29.9</c:v>
                </c:pt>
                <c:pt idx="6">
                  <c:v>30.9</c:v>
                </c:pt>
                <c:pt idx="7">
                  <c:v>28.9</c:v>
                </c:pt>
                <c:pt idx="8">
                  <c:v>35.9</c:v>
                </c:pt>
                <c:pt idx="9">
                  <c:v>31.5</c:v>
                </c:pt>
                <c:pt idx="10">
                  <c:v>31</c:v>
                </c:pt>
                <c:pt idx="11">
                  <c:v>30.9</c:v>
                </c:pt>
                <c:pt idx="12">
                  <c:v>30</c:v>
                </c:pt>
                <c:pt idx="13">
                  <c:v>36.9</c:v>
                </c:pt>
                <c:pt idx="14">
                  <c:v>41.9</c:v>
                </c:pt>
                <c:pt idx="15">
                  <c:v>40.5</c:v>
                </c:pt>
                <c:pt idx="16">
                  <c:v>43.9</c:v>
                </c:pt>
                <c:pt idx="17">
                  <c:v>37.5</c:v>
                </c:pt>
                <c:pt idx="18">
                  <c:v>37.9</c:v>
                </c:pt>
                <c:pt idx="19">
                  <c:v>44.5</c:v>
                </c:pt>
                <c:pt idx="20">
                  <c:v>37.9</c:v>
                </c:pt>
                <c:pt idx="21">
                  <c:v>38.9</c:v>
                </c:pt>
                <c:pt idx="22">
                  <c:v>36.9</c:v>
                </c:pt>
                <c:pt idx="23">
                  <c:v>45.8</c:v>
                </c:pt>
              </c:numCache>
            </c:numRef>
          </c:yVal>
        </c:ser>
        <c:axId val="135135232"/>
        <c:axId val="135137152"/>
      </c:scatterChart>
      <c:valAx>
        <c:axId val="135135232"/>
        <c:scaling>
          <c:orientation val="minMax"/>
          <c:min val="3"/>
        </c:scaling>
        <c:axPos val="b"/>
        <c:majorGridlines/>
        <c:minorGridlines/>
        <c:numFmt formatCode="General" sourceLinked="1"/>
        <c:tickLblPos val="nextTo"/>
        <c:crossAx val="135137152"/>
        <c:crosses val="autoZero"/>
        <c:crossBetween val="midCat"/>
        <c:majorUnit val="1"/>
      </c:valAx>
      <c:valAx>
        <c:axId val="135137152"/>
        <c:scaling>
          <c:orientation val="minMax"/>
          <c:min val="20"/>
        </c:scaling>
        <c:axPos val="l"/>
        <c:majorGridlines/>
        <c:numFmt formatCode="General" sourceLinked="1"/>
        <c:tickLblPos val="nextTo"/>
        <c:crossAx val="135135232"/>
        <c:crosses val="autoZero"/>
        <c:crossBetween val="midCat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/>
    <c:plotArea>
      <c:layout>
        <c:manualLayout>
          <c:layoutTarget val="inner"/>
          <c:xMode val="edge"/>
          <c:yMode val="edge"/>
          <c:x val="8.6071741032370933E-2"/>
          <c:y val="5.5914625255176487E-2"/>
          <c:w val="0.88169225721784772"/>
          <c:h val="0.82810549722951343"/>
        </c:manualLayout>
      </c:layout>
      <c:scatterChart>
        <c:scatterStyle val="lineMarker"/>
        <c:ser>
          <c:idx val="0"/>
          <c:order val="0"/>
          <c:tx>
            <c:strRef>
              <c:f>Week3!$C$30</c:f>
              <c:strCache>
                <c:ptCount val="1"/>
                <c:pt idx="0">
                  <c:v>rating pt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</c:trendline>
          <c:xVal>
            <c:numRef>
              <c:f>Week3!$B$31:$B$62</c:f>
              <c:numCache>
                <c:formatCode>General</c:formatCode>
                <c:ptCount val="32"/>
                <c:pt idx="0">
                  <c:v>8.39</c:v>
                </c:pt>
                <c:pt idx="1">
                  <c:v>7.67</c:v>
                </c:pt>
                <c:pt idx="2">
                  <c:v>7.66</c:v>
                </c:pt>
                <c:pt idx="3">
                  <c:v>7.98</c:v>
                </c:pt>
                <c:pt idx="4">
                  <c:v>7.21</c:v>
                </c:pt>
                <c:pt idx="5">
                  <c:v>7.53</c:v>
                </c:pt>
                <c:pt idx="6">
                  <c:v>8.01</c:v>
                </c:pt>
                <c:pt idx="7">
                  <c:v>7.66</c:v>
                </c:pt>
                <c:pt idx="8">
                  <c:v>7.21</c:v>
                </c:pt>
                <c:pt idx="9">
                  <c:v>7.16</c:v>
                </c:pt>
                <c:pt idx="10">
                  <c:v>7.93</c:v>
                </c:pt>
                <c:pt idx="11">
                  <c:v>7.1</c:v>
                </c:pt>
                <c:pt idx="12">
                  <c:v>6.33</c:v>
                </c:pt>
                <c:pt idx="13">
                  <c:v>6.76</c:v>
                </c:pt>
                <c:pt idx="14">
                  <c:v>6.86</c:v>
                </c:pt>
                <c:pt idx="15">
                  <c:v>7.35</c:v>
                </c:pt>
                <c:pt idx="16">
                  <c:v>7.22</c:v>
                </c:pt>
                <c:pt idx="17">
                  <c:v>7.94</c:v>
                </c:pt>
                <c:pt idx="18">
                  <c:v>6.41</c:v>
                </c:pt>
                <c:pt idx="19">
                  <c:v>6.77</c:v>
                </c:pt>
                <c:pt idx="20">
                  <c:v>6.65</c:v>
                </c:pt>
                <c:pt idx="21">
                  <c:v>6.94</c:v>
                </c:pt>
                <c:pt idx="22">
                  <c:v>6.45</c:v>
                </c:pt>
                <c:pt idx="23">
                  <c:v>7.04</c:v>
                </c:pt>
                <c:pt idx="24">
                  <c:v>6.39</c:v>
                </c:pt>
                <c:pt idx="25">
                  <c:v>6.58</c:v>
                </c:pt>
                <c:pt idx="26">
                  <c:v>6.21</c:v>
                </c:pt>
                <c:pt idx="27">
                  <c:v>7.17</c:v>
                </c:pt>
                <c:pt idx="28">
                  <c:v>6.34</c:v>
                </c:pt>
                <c:pt idx="29">
                  <c:v>6.18</c:v>
                </c:pt>
                <c:pt idx="30">
                  <c:v>5.12</c:v>
                </c:pt>
                <c:pt idx="31">
                  <c:v>5.71</c:v>
                </c:pt>
              </c:numCache>
            </c:numRef>
          </c:xVal>
          <c:yVal>
            <c:numRef>
              <c:f>Week3!$C$31:$C$62</c:f>
              <c:numCache>
                <c:formatCode>General</c:formatCode>
                <c:ptCount val="32"/>
                <c:pt idx="0">
                  <c:v>105.5</c:v>
                </c:pt>
                <c:pt idx="1">
                  <c:v>97.4</c:v>
                </c:pt>
                <c:pt idx="2">
                  <c:v>96.9</c:v>
                </c:pt>
                <c:pt idx="3">
                  <c:v>96.2</c:v>
                </c:pt>
                <c:pt idx="4">
                  <c:v>95</c:v>
                </c:pt>
                <c:pt idx="5">
                  <c:v>93.8</c:v>
                </c:pt>
                <c:pt idx="6">
                  <c:v>92.7</c:v>
                </c:pt>
                <c:pt idx="7">
                  <c:v>91.4</c:v>
                </c:pt>
                <c:pt idx="8">
                  <c:v>90.2</c:v>
                </c:pt>
                <c:pt idx="9">
                  <c:v>89.4</c:v>
                </c:pt>
                <c:pt idx="10">
                  <c:v>87.7</c:v>
                </c:pt>
                <c:pt idx="11">
                  <c:v>87.5</c:v>
                </c:pt>
                <c:pt idx="12">
                  <c:v>87</c:v>
                </c:pt>
                <c:pt idx="13">
                  <c:v>86.4</c:v>
                </c:pt>
                <c:pt idx="14">
                  <c:v>86.4</c:v>
                </c:pt>
                <c:pt idx="15">
                  <c:v>86</c:v>
                </c:pt>
                <c:pt idx="16">
                  <c:v>85.4</c:v>
                </c:pt>
                <c:pt idx="17">
                  <c:v>84.7</c:v>
                </c:pt>
                <c:pt idx="18">
                  <c:v>84.3</c:v>
                </c:pt>
                <c:pt idx="19">
                  <c:v>81.7</c:v>
                </c:pt>
                <c:pt idx="20">
                  <c:v>81</c:v>
                </c:pt>
                <c:pt idx="21">
                  <c:v>80.3</c:v>
                </c:pt>
                <c:pt idx="22">
                  <c:v>80.2</c:v>
                </c:pt>
                <c:pt idx="23">
                  <c:v>80.099999999999994</c:v>
                </c:pt>
                <c:pt idx="24">
                  <c:v>79.599999999999994</c:v>
                </c:pt>
                <c:pt idx="25">
                  <c:v>77.099999999999994</c:v>
                </c:pt>
                <c:pt idx="26">
                  <c:v>76</c:v>
                </c:pt>
                <c:pt idx="27">
                  <c:v>73.7</c:v>
                </c:pt>
                <c:pt idx="28">
                  <c:v>72.599999999999994</c:v>
                </c:pt>
                <c:pt idx="29">
                  <c:v>71.400000000000006</c:v>
                </c:pt>
                <c:pt idx="30">
                  <c:v>70</c:v>
                </c:pt>
                <c:pt idx="31">
                  <c:v>66.5</c:v>
                </c:pt>
              </c:numCache>
            </c:numRef>
          </c:yVal>
        </c:ser>
        <c:axId val="141567488"/>
        <c:axId val="141569024"/>
      </c:scatterChart>
      <c:valAx>
        <c:axId val="141567488"/>
        <c:scaling>
          <c:orientation val="minMax"/>
          <c:min val="5"/>
        </c:scaling>
        <c:axPos val="b"/>
        <c:majorGridlines/>
        <c:numFmt formatCode="General" sourceLinked="1"/>
        <c:tickLblPos val="nextTo"/>
        <c:crossAx val="141569024"/>
        <c:crosses val="autoZero"/>
        <c:crossBetween val="midCat"/>
        <c:majorUnit val="1"/>
      </c:valAx>
      <c:valAx>
        <c:axId val="141569024"/>
        <c:scaling>
          <c:orientation val="minMax"/>
          <c:min val="60"/>
        </c:scaling>
        <c:axPos val="l"/>
        <c:majorGridlines/>
        <c:numFmt formatCode="General" sourceLinked="1"/>
        <c:tickLblPos val="nextTo"/>
        <c:crossAx val="141567488"/>
        <c:crosses val="autoZero"/>
        <c:crossBetween val="midCat"/>
        <c:majorUnit val="20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</c:trendline>
          <c:xVal>
            <c:numRef>
              <c:f>Week3!$A$176:$A$188</c:f>
              <c:numCache>
                <c:formatCode>General</c:formatCode>
                <c:ptCount val="13"/>
                <c:pt idx="0">
                  <c:v>825</c:v>
                </c:pt>
                <c:pt idx="1">
                  <c:v>830</c:v>
                </c:pt>
                <c:pt idx="2">
                  <c:v>890</c:v>
                </c:pt>
                <c:pt idx="3">
                  <c:v>895</c:v>
                </c:pt>
                <c:pt idx="4">
                  <c:v>890</c:v>
                </c:pt>
                <c:pt idx="5">
                  <c:v>910</c:v>
                </c:pt>
                <c:pt idx="6">
                  <c:v>915</c:v>
                </c:pt>
                <c:pt idx="7">
                  <c:v>960</c:v>
                </c:pt>
                <c:pt idx="8">
                  <c:v>990</c:v>
                </c:pt>
                <c:pt idx="9">
                  <c:v>1010</c:v>
                </c:pt>
                <c:pt idx="10">
                  <c:v>1012</c:v>
                </c:pt>
                <c:pt idx="11">
                  <c:v>1030</c:v>
                </c:pt>
                <c:pt idx="12">
                  <c:v>1050</c:v>
                </c:pt>
              </c:numCache>
            </c:numRef>
          </c:xVal>
          <c:yVal>
            <c:numRef>
              <c:f>Week3!$B$176:$B$188</c:f>
              <c:numCache>
                <c:formatCode>General</c:formatCode>
                <c:ptCount val="13"/>
                <c:pt idx="0">
                  <c:v>40</c:v>
                </c:pt>
                <c:pt idx="1">
                  <c:v>42</c:v>
                </c:pt>
                <c:pt idx="2">
                  <c:v>49</c:v>
                </c:pt>
                <c:pt idx="3">
                  <c:v>46</c:v>
                </c:pt>
                <c:pt idx="4">
                  <c:v>44</c:v>
                </c:pt>
                <c:pt idx="5">
                  <c:v>48</c:v>
                </c:pt>
                <c:pt idx="6">
                  <c:v>46</c:v>
                </c:pt>
                <c:pt idx="7">
                  <c:v>43</c:v>
                </c:pt>
                <c:pt idx="8">
                  <c:v>53</c:v>
                </c:pt>
                <c:pt idx="9">
                  <c:v>52</c:v>
                </c:pt>
                <c:pt idx="10">
                  <c:v>54</c:v>
                </c:pt>
                <c:pt idx="11">
                  <c:v>57</c:v>
                </c:pt>
                <c:pt idx="12">
                  <c:v>58</c:v>
                </c:pt>
              </c:numCache>
            </c:numRef>
          </c:yVal>
        </c:ser>
        <c:axId val="141597696"/>
        <c:axId val="141603584"/>
      </c:scatterChart>
      <c:valAx>
        <c:axId val="141597696"/>
        <c:scaling>
          <c:orientation val="minMax"/>
          <c:min val="800"/>
        </c:scaling>
        <c:axPos val="b"/>
        <c:majorGridlines/>
        <c:numFmt formatCode="General" sourceLinked="1"/>
        <c:tickLblPos val="nextTo"/>
        <c:crossAx val="141603584"/>
        <c:crosses val="autoZero"/>
        <c:crossBetween val="midCat"/>
        <c:majorUnit val="20"/>
      </c:valAx>
      <c:valAx>
        <c:axId val="141603584"/>
        <c:scaling>
          <c:orientation val="minMax"/>
          <c:min val="30"/>
        </c:scaling>
        <c:axPos val="l"/>
        <c:majorGridlines/>
        <c:numFmt formatCode="General" sourceLinked="1"/>
        <c:tickLblPos val="nextTo"/>
        <c:crossAx val="141597696"/>
        <c:crosses val="autoZero"/>
        <c:crossBetween val="midCat"/>
        <c:majorUnit val="5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</c:trendline>
          <c:xVal>
            <c:numRef>
              <c:f>Week3!$A$233:$A$250</c:f>
              <c:numCache>
                <c:formatCode>General</c:formatCode>
                <c:ptCount val="18"/>
                <c:pt idx="0">
                  <c:v>0.19</c:v>
                </c:pt>
                <c:pt idx="1">
                  <c:v>0.15</c:v>
                </c:pt>
                <c:pt idx="2">
                  <c:v>0.56999999999999995</c:v>
                </c:pt>
                <c:pt idx="3">
                  <c:v>0.7</c:v>
                </c:pt>
                <c:pt idx="4">
                  <c:v>0.67</c:v>
                </c:pt>
                <c:pt idx="5">
                  <c:v>0.63</c:v>
                </c:pt>
                <c:pt idx="6">
                  <c:v>0.47</c:v>
                </c:pt>
                <c:pt idx="7">
                  <c:v>0.7</c:v>
                </c:pt>
                <c:pt idx="8">
                  <c:v>0.6</c:v>
                </c:pt>
                <c:pt idx="9">
                  <c:v>0.78</c:v>
                </c:pt>
                <c:pt idx="10">
                  <c:v>0.81</c:v>
                </c:pt>
                <c:pt idx="11">
                  <c:v>0.78</c:v>
                </c:pt>
                <c:pt idx="12">
                  <c:v>0.69</c:v>
                </c:pt>
                <c:pt idx="13">
                  <c:v>1.3</c:v>
                </c:pt>
                <c:pt idx="14">
                  <c:v>1.05</c:v>
                </c:pt>
                <c:pt idx="15">
                  <c:v>1.06</c:v>
                </c:pt>
                <c:pt idx="16">
                  <c:v>1.74</c:v>
                </c:pt>
                <c:pt idx="17">
                  <c:v>1.62</c:v>
                </c:pt>
              </c:numCache>
            </c:numRef>
          </c:xVal>
          <c:yVal>
            <c:numRef>
              <c:f>Week3!$B$233:$B$250</c:f>
              <c:numCache>
                <c:formatCode>General</c:formatCode>
                <c:ptCount val="18"/>
                <c:pt idx="0">
                  <c:v>4.4000000000000004</c:v>
                </c:pt>
                <c:pt idx="1">
                  <c:v>6.6</c:v>
                </c:pt>
                <c:pt idx="2">
                  <c:v>9.6999999999999993</c:v>
                </c:pt>
                <c:pt idx="3">
                  <c:v>10.6</c:v>
                </c:pt>
                <c:pt idx="4">
                  <c:v>10.8</c:v>
                </c:pt>
                <c:pt idx="5">
                  <c:v>10.9</c:v>
                </c:pt>
                <c:pt idx="6">
                  <c:v>11.8</c:v>
                </c:pt>
                <c:pt idx="7">
                  <c:v>12.1</c:v>
                </c:pt>
                <c:pt idx="8">
                  <c:v>14.3</c:v>
                </c:pt>
                <c:pt idx="9">
                  <c:v>14.7</c:v>
                </c:pt>
                <c:pt idx="10">
                  <c:v>15</c:v>
                </c:pt>
                <c:pt idx="11">
                  <c:v>17.3</c:v>
                </c:pt>
                <c:pt idx="12">
                  <c:v>19.2</c:v>
                </c:pt>
                <c:pt idx="13">
                  <c:v>23.1</c:v>
                </c:pt>
                <c:pt idx="14">
                  <c:v>27.4</c:v>
                </c:pt>
                <c:pt idx="15">
                  <c:v>27.7</c:v>
                </c:pt>
                <c:pt idx="16">
                  <c:v>31.8</c:v>
                </c:pt>
                <c:pt idx="17">
                  <c:v>39.5</c:v>
                </c:pt>
              </c:numCache>
            </c:numRef>
          </c:yVal>
        </c:ser>
        <c:axId val="141234560"/>
        <c:axId val="141236096"/>
      </c:scatterChart>
      <c:valAx>
        <c:axId val="141234560"/>
        <c:scaling>
          <c:orientation val="minMax"/>
        </c:scaling>
        <c:axPos val="b"/>
        <c:majorGridlines/>
        <c:numFmt formatCode="General" sourceLinked="1"/>
        <c:tickLblPos val="nextTo"/>
        <c:crossAx val="141236096"/>
        <c:crosses val="autoZero"/>
        <c:crossBetween val="midCat"/>
        <c:majorUnit val="0.2"/>
      </c:valAx>
      <c:valAx>
        <c:axId val="141236096"/>
        <c:scaling>
          <c:orientation val="minMax"/>
        </c:scaling>
        <c:axPos val="l"/>
        <c:majorGridlines/>
        <c:numFmt formatCode="General" sourceLinked="1"/>
        <c:tickLblPos val="nextTo"/>
        <c:crossAx val="141234560"/>
        <c:crosses val="autoZero"/>
        <c:crossBetween val="midCat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/>
    <c:plotArea>
      <c:layout>
        <c:manualLayout>
          <c:layoutTarget val="inner"/>
          <c:xMode val="edge"/>
          <c:yMode val="edge"/>
          <c:x val="8.6071741032370933E-2"/>
          <c:y val="5.5914625255176514E-2"/>
          <c:w val="0.88169225721784772"/>
          <c:h val="0.82810549722951377"/>
        </c:manualLayout>
      </c:layout>
      <c:scatterChart>
        <c:scatterStyle val="lineMarker"/>
        <c:ser>
          <c:idx val="0"/>
          <c:order val="0"/>
          <c:tx>
            <c:strRef>
              <c:f>Week3!$C$30</c:f>
              <c:strCache>
                <c:ptCount val="1"/>
                <c:pt idx="0">
                  <c:v>rating pt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</c:trendline>
          <c:xVal>
            <c:numRef>
              <c:f>Week3!$B$31:$B$62</c:f>
              <c:numCache>
                <c:formatCode>General</c:formatCode>
                <c:ptCount val="32"/>
                <c:pt idx="0">
                  <c:v>8.39</c:v>
                </c:pt>
                <c:pt idx="1">
                  <c:v>7.67</c:v>
                </c:pt>
                <c:pt idx="2">
                  <c:v>7.66</c:v>
                </c:pt>
                <c:pt idx="3">
                  <c:v>7.98</c:v>
                </c:pt>
                <c:pt idx="4">
                  <c:v>7.21</c:v>
                </c:pt>
                <c:pt idx="5">
                  <c:v>7.53</c:v>
                </c:pt>
                <c:pt idx="6">
                  <c:v>8.01</c:v>
                </c:pt>
                <c:pt idx="7">
                  <c:v>7.66</c:v>
                </c:pt>
                <c:pt idx="8">
                  <c:v>7.21</c:v>
                </c:pt>
                <c:pt idx="9">
                  <c:v>7.16</c:v>
                </c:pt>
                <c:pt idx="10">
                  <c:v>7.93</c:v>
                </c:pt>
                <c:pt idx="11">
                  <c:v>7.1</c:v>
                </c:pt>
                <c:pt idx="12">
                  <c:v>6.33</c:v>
                </c:pt>
                <c:pt idx="13">
                  <c:v>6.76</c:v>
                </c:pt>
                <c:pt idx="14">
                  <c:v>6.86</c:v>
                </c:pt>
                <c:pt idx="15">
                  <c:v>7.35</c:v>
                </c:pt>
                <c:pt idx="16">
                  <c:v>7.22</c:v>
                </c:pt>
                <c:pt idx="17">
                  <c:v>7.94</c:v>
                </c:pt>
                <c:pt idx="18">
                  <c:v>6.41</c:v>
                </c:pt>
                <c:pt idx="19">
                  <c:v>6.77</c:v>
                </c:pt>
                <c:pt idx="20">
                  <c:v>6.65</c:v>
                </c:pt>
                <c:pt idx="21">
                  <c:v>6.94</c:v>
                </c:pt>
                <c:pt idx="22">
                  <c:v>6.45</c:v>
                </c:pt>
                <c:pt idx="23">
                  <c:v>7.04</c:v>
                </c:pt>
                <c:pt idx="24">
                  <c:v>6.39</c:v>
                </c:pt>
                <c:pt idx="25">
                  <c:v>6.58</c:v>
                </c:pt>
                <c:pt idx="26">
                  <c:v>6.21</c:v>
                </c:pt>
                <c:pt idx="27">
                  <c:v>7.17</c:v>
                </c:pt>
                <c:pt idx="28">
                  <c:v>6.34</c:v>
                </c:pt>
                <c:pt idx="29">
                  <c:v>6.18</c:v>
                </c:pt>
                <c:pt idx="30">
                  <c:v>5.12</c:v>
                </c:pt>
                <c:pt idx="31">
                  <c:v>5.71</c:v>
                </c:pt>
              </c:numCache>
            </c:numRef>
          </c:xVal>
          <c:yVal>
            <c:numRef>
              <c:f>Week3!$C$31:$C$62</c:f>
              <c:numCache>
                <c:formatCode>General</c:formatCode>
                <c:ptCount val="32"/>
                <c:pt idx="0">
                  <c:v>105.5</c:v>
                </c:pt>
                <c:pt idx="1">
                  <c:v>97.4</c:v>
                </c:pt>
                <c:pt idx="2">
                  <c:v>96.9</c:v>
                </c:pt>
                <c:pt idx="3">
                  <c:v>96.2</c:v>
                </c:pt>
                <c:pt idx="4">
                  <c:v>95</c:v>
                </c:pt>
                <c:pt idx="5">
                  <c:v>93.8</c:v>
                </c:pt>
                <c:pt idx="6">
                  <c:v>92.7</c:v>
                </c:pt>
                <c:pt idx="7">
                  <c:v>91.4</c:v>
                </c:pt>
                <c:pt idx="8">
                  <c:v>90.2</c:v>
                </c:pt>
                <c:pt idx="9">
                  <c:v>89.4</c:v>
                </c:pt>
                <c:pt idx="10">
                  <c:v>87.7</c:v>
                </c:pt>
                <c:pt idx="11">
                  <c:v>87.5</c:v>
                </c:pt>
                <c:pt idx="12">
                  <c:v>87</c:v>
                </c:pt>
                <c:pt idx="13">
                  <c:v>86.4</c:v>
                </c:pt>
                <c:pt idx="14">
                  <c:v>86.4</c:v>
                </c:pt>
                <c:pt idx="15">
                  <c:v>86</c:v>
                </c:pt>
                <c:pt idx="16">
                  <c:v>85.4</c:v>
                </c:pt>
                <c:pt idx="17">
                  <c:v>84.7</c:v>
                </c:pt>
                <c:pt idx="18">
                  <c:v>84.3</c:v>
                </c:pt>
                <c:pt idx="19">
                  <c:v>81.7</c:v>
                </c:pt>
                <c:pt idx="20">
                  <c:v>81</c:v>
                </c:pt>
                <c:pt idx="21">
                  <c:v>80.3</c:v>
                </c:pt>
                <c:pt idx="22">
                  <c:v>80.2</c:v>
                </c:pt>
                <c:pt idx="23">
                  <c:v>80.099999999999994</c:v>
                </c:pt>
                <c:pt idx="24">
                  <c:v>79.599999999999994</c:v>
                </c:pt>
                <c:pt idx="25">
                  <c:v>77.099999999999994</c:v>
                </c:pt>
                <c:pt idx="26">
                  <c:v>76</c:v>
                </c:pt>
                <c:pt idx="27">
                  <c:v>73.7</c:v>
                </c:pt>
                <c:pt idx="28">
                  <c:v>72.599999999999994</c:v>
                </c:pt>
                <c:pt idx="29">
                  <c:v>71.400000000000006</c:v>
                </c:pt>
                <c:pt idx="30">
                  <c:v>70</c:v>
                </c:pt>
                <c:pt idx="31">
                  <c:v>66.5</c:v>
                </c:pt>
              </c:numCache>
            </c:numRef>
          </c:yVal>
        </c:ser>
        <c:axId val="145373056"/>
        <c:axId val="145374592"/>
      </c:scatterChart>
      <c:valAx>
        <c:axId val="145373056"/>
        <c:scaling>
          <c:orientation val="minMax"/>
          <c:min val="5"/>
        </c:scaling>
        <c:axPos val="b"/>
        <c:majorGridlines/>
        <c:numFmt formatCode="General" sourceLinked="1"/>
        <c:tickLblPos val="nextTo"/>
        <c:crossAx val="145374592"/>
        <c:crosses val="autoZero"/>
        <c:crossBetween val="midCat"/>
        <c:majorUnit val="1"/>
      </c:valAx>
      <c:valAx>
        <c:axId val="145374592"/>
        <c:scaling>
          <c:orientation val="minMax"/>
          <c:min val="60"/>
        </c:scaling>
        <c:axPos val="l"/>
        <c:majorGridlines/>
        <c:numFmt formatCode="General" sourceLinked="1"/>
        <c:tickLblPos val="nextTo"/>
        <c:crossAx val="145373056"/>
        <c:crosses val="autoZero"/>
        <c:crossBetween val="midCat"/>
        <c:majorUnit val="20"/>
      </c:valAx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Week4!$H$3:$H$34</c:f>
              <c:numCache>
                <c:formatCode>General</c:formatCode>
                <c:ptCount val="32"/>
                <c:pt idx="0">
                  <c:v>98.865225689783173</c:v>
                </c:pt>
                <c:pt idx="1">
                  <c:v>91.599169575471066</c:v>
                </c:pt>
                <c:pt idx="2">
                  <c:v>91.498252129438953</c:v>
                </c:pt>
                <c:pt idx="3">
                  <c:v>94.727610402466553</c:v>
                </c:pt>
                <c:pt idx="4">
                  <c:v>86.956967057993893</c:v>
                </c:pt>
                <c:pt idx="5">
                  <c:v>90.186325331021493</c:v>
                </c:pt>
                <c:pt idx="6">
                  <c:v>95.030362740562893</c:v>
                </c:pt>
                <c:pt idx="7">
                  <c:v>91.498252129438953</c:v>
                </c:pt>
                <c:pt idx="8">
                  <c:v>86.956967057993893</c:v>
                </c:pt>
                <c:pt idx="9">
                  <c:v>86.452379827833326</c:v>
                </c:pt>
                <c:pt idx="10">
                  <c:v>94.223023172305986</c:v>
                </c:pt>
                <c:pt idx="11">
                  <c:v>85.846875151640646</c:v>
                </c:pt>
                <c:pt idx="12">
                  <c:v>78.076231807167986</c:v>
                </c:pt>
                <c:pt idx="13">
                  <c:v>82.415681986548819</c:v>
                </c:pt>
                <c:pt idx="14">
                  <c:v>83.424856446869953</c:v>
                </c:pt>
                <c:pt idx="15">
                  <c:v>88.369811302443466</c:v>
                </c:pt>
                <c:pt idx="16">
                  <c:v>87.057884504026006</c:v>
                </c:pt>
                <c:pt idx="17">
                  <c:v>94.323940618338113</c:v>
                </c:pt>
                <c:pt idx="18">
                  <c:v>78.883571375424893</c:v>
                </c:pt>
                <c:pt idx="19">
                  <c:v>82.516599432580932</c:v>
                </c:pt>
                <c:pt idx="20">
                  <c:v>81.305590080195586</c:v>
                </c:pt>
                <c:pt idx="21">
                  <c:v>84.23219601512686</c:v>
                </c:pt>
                <c:pt idx="22">
                  <c:v>79.287241159553332</c:v>
                </c:pt>
                <c:pt idx="23">
                  <c:v>85.24137047544798</c:v>
                </c:pt>
                <c:pt idx="24">
                  <c:v>78.681736483360652</c:v>
                </c:pt>
                <c:pt idx="25">
                  <c:v>80.599167957970806</c:v>
                </c:pt>
                <c:pt idx="26">
                  <c:v>76.865222454782639</c:v>
                </c:pt>
                <c:pt idx="27">
                  <c:v>86.553297273865439</c:v>
                </c:pt>
                <c:pt idx="28">
                  <c:v>78.177149253200099</c:v>
                </c:pt>
                <c:pt idx="29">
                  <c:v>76.562470116686285</c:v>
                </c:pt>
                <c:pt idx="30">
                  <c:v>65.865220837282379</c:v>
                </c:pt>
                <c:pt idx="31">
                  <c:v>71.819350153176998</c:v>
                </c:pt>
              </c:numCache>
            </c:numRef>
          </c:xVal>
          <c:yVal>
            <c:numRef>
              <c:f>Week4!$K$3:$K$34</c:f>
              <c:numCache>
                <c:formatCode>General</c:formatCode>
                <c:ptCount val="32"/>
                <c:pt idx="0">
                  <c:v>6.6347743102168266</c:v>
                </c:pt>
                <c:pt idx="1">
                  <c:v>5.8008304245289395</c:v>
                </c:pt>
                <c:pt idx="2">
                  <c:v>5.4017478705610529</c:v>
                </c:pt>
                <c:pt idx="3">
                  <c:v>1.47238959753345</c:v>
                </c:pt>
                <c:pt idx="4">
                  <c:v>8.0430329420061071</c:v>
                </c:pt>
                <c:pt idx="5">
                  <c:v>3.6136746689785042</c:v>
                </c:pt>
                <c:pt idx="6">
                  <c:v>-2.3303627405628902</c:v>
                </c:pt>
                <c:pt idx="7">
                  <c:v>-9.8252129438947122E-2</c:v>
                </c:pt>
                <c:pt idx="8">
                  <c:v>3.2430329420061099</c:v>
                </c:pt>
                <c:pt idx="9">
                  <c:v>2.9476201721666797</c:v>
                </c:pt>
                <c:pt idx="10">
                  <c:v>-6.5230231723059831</c:v>
                </c:pt>
                <c:pt idx="11">
                  <c:v>1.6531248483593544</c:v>
                </c:pt>
                <c:pt idx="12">
                  <c:v>8.9237681928320143</c:v>
                </c:pt>
                <c:pt idx="13">
                  <c:v>3.9843180134511869</c:v>
                </c:pt>
                <c:pt idx="14">
                  <c:v>2.975143553130053</c:v>
                </c:pt>
                <c:pt idx="15">
                  <c:v>-2.3698113024434662</c:v>
                </c:pt>
                <c:pt idx="16">
                  <c:v>-1.6578845040260006</c:v>
                </c:pt>
                <c:pt idx="17">
                  <c:v>-9.6239406183381107</c:v>
                </c:pt>
                <c:pt idx="18">
                  <c:v>5.4164286245751043</c:v>
                </c:pt>
                <c:pt idx="19">
                  <c:v>-0.81659943258092937</c:v>
                </c:pt>
                <c:pt idx="20">
                  <c:v>-0.30559008019558576</c:v>
                </c:pt>
                <c:pt idx="21">
                  <c:v>-3.9321960151268627</c:v>
                </c:pt>
                <c:pt idx="22">
                  <c:v>0.91275884044667066</c:v>
                </c:pt>
                <c:pt idx="23">
                  <c:v>-5.1413704754479852</c:v>
                </c:pt>
                <c:pt idx="24">
                  <c:v>0.91826351663934247</c:v>
                </c:pt>
                <c:pt idx="25">
                  <c:v>-3.4991679579708119</c:v>
                </c:pt>
                <c:pt idx="26">
                  <c:v>-0.86522245478263926</c:v>
                </c:pt>
                <c:pt idx="27">
                  <c:v>-12.853297273865437</c:v>
                </c:pt>
                <c:pt idx="28">
                  <c:v>-5.5771492532001048</c:v>
                </c:pt>
                <c:pt idx="29">
                  <c:v>-5.1624701166862792</c:v>
                </c:pt>
                <c:pt idx="30">
                  <c:v>4.1347791627176207</c:v>
                </c:pt>
                <c:pt idx="31">
                  <c:v>-5.3193501531769982</c:v>
                </c:pt>
              </c:numCache>
            </c:numRef>
          </c:yVal>
        </c:ser>
        <c:axId val="145386112"/>
        <c:axId val="145404288"/>
      </c:scatterChart>
      <c:valAx>
        <c:axId val="145386112"/>
        <c:scaling>
          <c:orientation val="minMax"/>
          <c:max val="100"/>
          <c:min val="65"/>
        </c:scaling>
        <c:axPos val="b"/>
        <c:majorGridlines/>
        <c:numFmt formatCode="General" sourceLinked="1"/>
        <c:tickLblPos val="nextTo"/>
        <c:crossAx val="145404288"/>
        <c:crosses val="autoZero"/>
        <c:crossBetween val="midCat"/>
      </c:valAx>
      <c:valAx>
        <c:axId val="145404288"/>
        <c:scaling>
          <c:orientation val="minMax"/>
        </c:scaling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tickLblPos val="nextTo"/>
        <c:crossAx val="145386112"/>
        <c:crosses val="autoZero"/>
        <c:crossBetween val="midCat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/>
    <c:plotArea>
      <c:layout/>
      <c:scatterChart>
        <c:scatterStyle val="lineMarker"/>
        <c:ser>
          <c:idx val="0"/>
          <c:order val="0"/>
          <c:tx>
            <c:strRef>
              <c:f>Week3!$B$103</c:f>
              <c:strCache>
                <c:ptCount val="1"/>
                <c:pt idx="0">
                  <c:v>sales price /1000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</c:trendline>
          <c:xVal>
            <c:numRef>
              <c:f>Week3!$A$104:$A$127</c:f>
              <c:numCache>
                <c:formatCode>General</c:formatCode>
                <c:ptCount val="24"/>
                <c:pt idx="0">
                  <c:v>4.9176000000000002</c:v>
                </c:pt>
                <c:pt idx="1">
                  <c:v>5.0208000000000004</c:v>
                </c:pt>
                <c:pt idx="2">
                  <c:v>4.5429000000000004</c:v>
                </c:pt>
                <c:pt idx="3">
                  <c:v>4.5572999999999997</c:v>
                </c:pt>
                <c:pt idx="4">
                  <c:v>5.0597000000000003</c:v>
                </c:pt>
                <c:pt idx="5">
                  <c:v>3.891</c:v>
                </c:pt>
                <c:pt idx="6">
                  <c:v>5.8979999999999997</c:v>
                </c:pt>
                <c:pt idx="7">
                  <c:v>5.6039000000000003</c:v>
                </c:pt>
                <c:pt idx="8">
                  <c:v>5.8281999999999998</c:v>
                </c:pt>
                <c:pt idx="9">
                  <c:v>5.3003</c:v>
                </c:pt>
                <c:pt idx="10">
                  <c:v>6.2712000000000003</c:v>
                </c:pt>
                <c:pt idx="11">
                  <c:v>5.9592000000000001</c:v>
                </c:pt>
                <c:pt idx="12">
                  <c:v>5.05</c:v>
                </c:pt>
                <c:pt idx="13">
                  <c:v>8.2463999999999995</c:v>
                </c:pt>
                <c:pt idx="14">
                  <c:v>6.6969000000000003</c:v>
                </c:pt>
                <c:pt idx="15">
                  <c:v>7.7840999999999996</c:v>
                </c:pt>
                <c:pt idx="16">
                  <c:v>9.0383999999999993</c:v>
                </c:pt>
                <c:pt idx="17">
                  <c:v>5.9893999999999998</c:v>
                </c:pt>
                <c:pt idx="18">
                  <c:v>7.5422000000000002</c:v>
                </c:pt>
                <c:pt idx="19">
                  <c:v>8.7950999999999997</c:v>
                </c:pt>
                <c:pt idx="20">
                  <c:v>6.0831</c:v>
                </c:pt>
                <c:pt idx="21">
                  <c:v>8.3606999999999996</c:v>
                </c:pt>
                <c:pt idx="22">
                  <c:v>8.14</c:v>
                </c:pt>
                <c:pt idx="23">
                  <c:v>9.1416000000000004</c:v>
                </c:pt>
              </c:numCache>
            </c:numRef>
          </c:xVal>
          <c:yVal>
            <c:numRef>
              <c:f>Week3!$B$104:$B$127</c:f>
              <c:numCache>
                <c:formatCode>General</c:formatCode>
                <c:ptCount val="24"/>
                <c:pt idx="0">
                  <c:v>25.9</c:v>
                </c:pt>
                <c:pt idx="1">
                  <c:v>29.5</c:v>
                </c:pt>
                <c:pt idx="2">
                  <c:v>27.9</c:v>
                </c:pt>
                <c:pt idx="3">
                  <c:v>25.9</c:v>
                </c:pt>
                <c:pt idx="4">
                  <c:v>29.9</c:v>
                </c:pt>
                <c:pt idx="5">
                  <c:v>29.9</c:v>
                </c:pt>
                <c:pt idx="6">
                  <c:v>30.9</c:v>
                </c:pt>
                <c:pt idx="7">
                  <c:v>28.9</c:v>
                </c:pt>
                <c:pt idx="8">
                  <c:v>35.9</c:v>
                </c:pt>
                <c:pt idx="9">
                  <c:v>31.5</c:v>
                </c:pt>
                <c:pt idx="10">
                  <c:v>31</c:v>
                </c:pt>
                <c:pt idx="11">
                  <c:v>30.9</c:v>
                </c:pt>
                <c:pt idx="12">
                  <c:v>30</c:v>
                </c:pt>
                <c:pt idx="13">
                  <c:v>36.9</c:v>
                </c:pt>
                <c:pt idx="14">
                  <c:v>41.9</c:v>
                </c:pt>
                <c:pt idx="15">
                  <c:v>40.5</c:v>
                </c:pt>
                <c:pt idx="16">
                  <c:v>43.9</c:v>
                </c:pt>
                <c:pt idx="17">
                  <c:v>37.5</c:v>
                </c:pt>
                <c:pt idx="18">
                  <c:v>37.9</c:v>
                </c:pt>
                <c:pt idx="19">
                  <c:v>44.5</c:v>
                </c:pt>
                <c:pt idx="20">
                  <c:v>37.9</c:v>
                </c:pt>
                <c:pt idx="21">
                  <c:v>38.9</c:v>
                </c:pt>
                <c:pt idx="22">
                  <c:v>36.9</c:v>
                </c:pt>
                <c:pt idx="23">
                  <c:v>45.8</c:v>
                </c:pt>
              </c:numCache>
            </c:numRef>
          </c:yVal>
        </c:ser>
        <c:axId val="145421056"/>
        <c:axId val="145422592"/>
      </c:scatterChart>
      <c:valAx>
        <c:axId val="145421056"/>
        <c:scaling>
          <c:orientation val="minMax"/>
          <c:min val="3"/>
        </c:scaling>
        <c:axPos val="b"/>
        <c:majorGridlines/>
        <c:minorGridlines/>
        <c:numFmt formatCode="General" sourceLinked="1"/>
        <c:tickLblPos val="nextTo"/>
        <c:crossAx val="145422592"/>
        <c:crosses val="autoZero"/>
        <c:crossBetween val="midCat"/>
        <c:majorUnit val="1"/>
      </c:valAx>
      <c:valAx>
        <c:axId val="145422592"/>
        <c:scaling>
          <c:orientation val="minMax"/>
          <c:min val="20"/>
        </c:scaling>
        <c:axPos val="l"/>
        <c:majorGridlines/>
        <c:numFmt formatCode="General" sourceLinked="1"/>
        <c:tickLblPos val="nextTo"/>
        <c:crossAx val="145421056"/>
        <c:crosses val="autoZero"/>
        <c:crossBetween val="midCat"/>
      </c:valAx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</c:trendline>
          <c:xVal>
            <c:numRef>
              <c:f>Week4!$K$3:$K$34</c:f>
              <c:numCache>
                <c:formatCode>General</c:formatCode>
                <c:ptCount val="32"/>
                <c:pt idx="0">
                  <c:v>6.6347743102168266</c:v>
                </c:pt>
                <c:pt idx="1">
                  <c:v>5.8008304245289395</c:v>
                </c:pt>
                <c:pt idx="2">
                  <c:v>5.4017478705610529</c:v>
                </c:pt>
                <c:pt idx="3">
                  <c:v>1.47238959753345</c:v>
                </c:pt>
                <c:pt idx="4">
                  <c:v>8.0430329420061071</c:v>
                </c:pt>
                <c:pt idx="5">
                  <c:v>3.6136746689785042</c:v>
                </c:pt>
                <c:pt idx="6">
                  <c:v>-2.3303627405628902</c:v>
                </c:pt>
                <c:pt idx="7">
                  <c:v>-9.8252129438947122E-2</c:v>
                </c:pt>
                <c:pt idx="8">
                  <c:v>3.2430329420061099</c:v>
                </c:pt>
                <c:pt idx="9">
                  <c:v>2.9476201721666797</c:v>
                </c:pt>
                <c:pt idx="10">
                  <c:v>-6.5230231723059831</c:v>
                </c:pt>
                <c:pt idx="11">
                  <c:v>1.6531248483593544</c:v>
                </c:pt>
                <c:pt idx="12">
                  <c:v>8.9237681928320143</c:v>
                </c:pt>
                <c:pt idx="13">
                  <c:v>3.9843180134511869</c:v>
                </c:pt>
                <c:pt idx="14">
                  <c:v>2.975143553130053</c:v>
                </c:pt>
                <c:pt idx="15">
                  <c:v>-2.3698113024434662</c:v>
                </c:pt>
                <c:pt idx="16">
                  <c:v>-1.6578845040260006</c:v>
                </c:pt>
                <c:pt idx="17">
                  <c:v>-9.6239406183381107</c:v>
                </c:pt>
                <c:pt idx="18">
                  <c:v>5.4164286245751043</c:v>
                </c:pt>
                <c:pt idx="19">
                  <c:v>-0.81659943258092937</c:v>
                </c:pt>
                <c:pt idx="20">
                  <c:v>-0.30559008019558576</c:v>
                </c:pt>
                <c:pt idx="21">
                  <c:v>-3.9321960151268627</c:v>
                </c:pt>
                <c:pt idx="22">
                  <c:v>0.91275884044667066</c:v>
                </c:pt>
                <c:pt idx="23">
                  <c:v>-5.1413704754479852</c:v>
                </c:pt>
                <c:pt idx="24">
                  <c:v>0.91826351663934247</c:v>
                </c:pt>
                <c:pt idx="25">
                  <c:v>-3.4991679579708119</c:v>
                </c:pt>
                <c:pt idx="26">
                  <c:v>-0.86522245478263926</c:v>
                </c:pt>
                <c:pt idx="27">
                  <c:v>-12.853297273865437</c:v>
                </c:pt>
                <c:pt idx="28">
                  <c:v>-5.5771492532001048</c:v>
                </c:pt>
                <c:pt idx="29">
                  <c:v>-5.1624701166862792</c:v>
                </c:pt>
                <c:pt idx="30">
                  <c:v>4.1347791627176207</c:v>
                </c:pt>
                <c:pt idx="31">
                  <c:v>-5.3193501531769982</c:v>
                </c:pt>
              </c:numCache>
            </c:numRef>
          </c:xVal>
          <c:yVal>
            <c:numRef>
              <c:f>Week4!$M$3:$M$34</c:f>
              <c:numCache>
                <c:formatCode>General</c:formatCode>
                <c:ptCount val="32"/>
                <c:pt idx="0">
                  <c:v>0.89819559245286296</c:v>
                </c:pt>
                <c:pt idx="1">
                  <c:v>0.86683177591087346</c:v>
                </c:pt>
                <c:pt idx="2">
                  <c:v>0.84968138332723819</c:v>
                </c:pt>
                <c:pt idx="3">
                  <c:v>0.61108007084269922</c:v>
                </c:pt>
                <c:pt idx="4">
                  <c:v>0.93836393379640315</c:v>
                </c:pt>
                <c:pt idx="5">
                  <c:v>0.75567017736030384</c:v>
                </c:pt>
                <c:pt idx="6">
                  <c:v>0.32760448043384727</c:v>
                </c:pt>
                <c:pt idx="7">
                  <c:v>0.49248963774511922</c:v>
                </c:pt>
                <c:pt idx="8">
                  <c:v>0.73283864143132382</c:v>
                </c:pt>
                <c:pt idx="9">
                  <c:v>0.71390011033799838</c:v>
                </c:pt>
                <c:pt idx="10">
                  <c:v>0.10566375177237908</c:v>
                </c:pt>
                <c:pt idx="11">
                  <c:v>0.62428985942046367</c:v>
                </c:pt>
                <c:pt idx="12">
                  <c:v>0.95636221160895074</c:v>
                </c:pt>
                <c:pt idx="13">
                  <c:v>0.77740660360556468</c:v>
                </c:pt>
                <c:pt idx="14">
                  <c:v>0.71569122868305657</c:v>
                </c:pt>
                <c:pt idx="15">
                  <c:v>0.32487964292821669</c:v>
                </c:pt>
                <c:pt idx="16">
                  <c:v>0.37536414667722451</c:v>
                </c:pt>
                <c:pt idx="17">
                  <c:v>3.25833652593015E-2</c:v>
                </c:pt>
                <c:pt idx="18">
                  <c:v>0.85033725094911183</c:v>
                </c:pt>
                <c:pt idx="19">
                  <c:v>0.43782950823805067</c:v>
                </c:pt>
                <c:pt idx="20">
                  <c:v>0.47665275234643867</c:v>
                </c:pt>
                <c:pt idx="21">
                  <c:v>0.22558183992555547</c:v>
                </c:pt>
                <c:pt idx="22">
                  <c:v>0.56942101217897956</c:v>
                </c:pt>
                <c:pt idx="23">
                  <c:v>0.16226904822628363</c:v>
                </c:pt>
                <c:pt idx="24">
                  <c:v>0.56983538727559202</c:v>
                </c:pt>
                <c:pt idx="25">
                  <c:v>0.25126930251802282</c:v>
                </c:pt>
                <c:pt idx="26">
                  <c:v>0.43416051416140111</c:v>
                </c:pt>
                <c:pt idx="27">
                  <c:v>6.8906693219477066E-3</c:v>
                </c:pt>
                <c:pt idx="28">
                  <c:v>0.14260744894404698</c:v>
                </c:pt>
                <c:pt idx="29">
                  <c:v>0.16127822254850399</c:v>
                </c:pt>
                <c:pt idx="30">
                  <c:v>0.78590560719476199</c:v>
                </c:pt>
                <c:pt idx="31">
                  <c:v>0.15403526225485242</c:v>
                </c:pt>
              </c:numCache>
            </c:numRef>
          </c:yVal>
        </c:ser>
        <c:axId val="143172736"/>
        <c:axId val="143174272"/>
      </c:scatterChart>
      <c:valAx>
        <c:axId val="143172736"/>
        <c:scaling>
          <c:orientation val="minMax"/>
        </c:scaling>
        <c:axPos val="b"/>
        <c:numFmt formatCode="General" sourceLinked="1"/>
        <c:tickLblPos val="nextTo"/>
        <c:crossAx val="143174272"/>
        <c:crosses val="autoZero"/>
        <c:crossBetween val="midCat"/>
      </c:valAx>
      <c:valAx>
        <c:axId val="143174272"/>
        <c:scaling>
          <c:orientation val="minMax"/>
          <c:max val="1"/>
          <c:min val="-0.1"/>
        </c:scaling>
        <c:axPos val="l"/>
        <c:majorGridlines/>
        <c:numFmt formatCode="General" sourceLinked="1"/>
        <c:tickLblPos val="nextTo"/>
        <c:crossAx val="143172736"/>
        <c:crossesAt val="-15"/>
        <c:crossBetween val="midCat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</c:trendline>
          <c:xVal>
            <c:numRef>
              <c:f>Week4!$B$184:$B$207</c:f>
              <c:numCache>
                <c:formatCode>General</c:formatCode>
                <c:ptCount val="24"/>
                <c:pt idx="0">
                  <c:v>-3.7681072586456104</c:v>
                </c:pt>
                <c:pt idx="1">
                  <c:v>-0.51118236991384691</c:v>
                </c:pt>
                <c:pt idx="2">
                  <c:v>-0.52246535755831758</c:v>
                </c:pt>
                <c:pt idx="3">
                  <c:v>-2.5703363033166724</c:v>
                </c:pt>
                <c:pt idx="4">
                  <c:v>-0.24050041088608154</c:v>
                </c:pt>
                <c:pt idx="5">
                  <c:v>3.6446922493773926</c:v>
                </c:pt>
                <c:pt idx="6">
                  <c:v>-2.0273208156938765</c:v>
                </c:pt>
                <c:pt idx="7">
                  <c:v>-3.0496232360040629</c:v>
                </c:pt>
                <c:pt idx="8">
                  <c:v>3.2047202963848349</c:v>
                </c:pt>
                <c:pt idx="9">
                  <c:v>0.55965587040133968</c:v>
                </c:pt>
                <c:pt idx="10">
                  <c:v>-3.1679761599313423</c:v>
                </c:pt>
                <c:pt idx="11">
                  <c:v>-2.2307723351669</c:v>
                </c:pt>
                <c:pt idx="12">
                  <c:v>-0.10825400992385099</c:v>
                </c:pt>
                <c:pt idx="13">
                  <c:v>-3.8342742197862307</c:v>
                </c:pt>
                <c:pt idx="14">
                  <c:v>6.3168390060871715</c:v>
                </c:pt>
                <c:pt idx="15">
                  <c:v>1.3025826013310819</c:v>
                </c:pt>
                <c:pt idx="16">
                  <c:v>0.53282376350403382</c:v>
                </c:pt>
                <c:pt idx="17">
                  <c:v>4.2688316535898707</c:v>
                </c:pt>
                <c:pt idx="18">
                  <c:v>-0.49325199735316261</c:v>
                </c:pt>
                <c:pt idx="19">
                  <c:v>1.9416432845463021</c:v>
                </c:pt>
                <c:pt idx="20">
                  <c:v>4.357338069037219</c:v>
                </c:pt>
                <c:pt idx="21">
                  <c:v>-2.2142498517432117</c:v>
                </c:pt>
                <c:pt idx="22">
                  <c:v>-3.4805611205717</c:v>
                </c:pt>
                <c:pt idx="23">
                  <c:v>2.0897486522357838</c:v>
                </c:pt>
              </c:numCache>
            </c:numRef>
          </c:xVal>
          <c:yVal>
            <c:numRef>
              <c:f>Week4!$D$184:$D$207</c:f>
              <c:numCache>
                <c:formatCode>General</c:formatCode>
                <c:ptCount val="24"/>
                <c:pt idx="0">
                  <c:v>0.1015866371003229</c:v>
                </c:pt>
                <c:pt idx="1">
                  <c:v>0.43146871027733225</c:v>
                </c:pt>
                <c:pt idx="2">
                  <c:v>0.42997152854918685</c:v>
                </c:pt>
                <c:pt idx="3">
                  <c:v>0.19268286254768463</c:v>
                </c:pt>
                <c:pt idx="4">
                  <c:v>0.4676328458649176</c:v>
                </c:pt>
                <c:pt idx="5">
                  <c:v>0.89081669231408189</c:v>
                </c:pt>
                <c:pt idx="6">
                  <c:v>0.24677753400707725</c:v>
                </c:pt>
                <c:pt idx="7">
                  <c:v>0.15152455042129187</c:v>
                </c:pt>
                <c:pt idx="8">
                  <c:v>0.86043948776955137</c:v>
                </c:pt>
                <c:pt idx="9">
                  <c:v>0.57495618053844777</c:v>
                </c:pt>
                <c:pt idx="10">
                  <c:v>0.14233513469382686</c:v>
                </c:pt>
                <c:pt idx="11">
                  <c:v>0.22561231815450111</c:v>
                </c:pt>
                <c:pt idx="12">
                  <c:v>0.48541812933754058</c:v>
                </c:pt>
                <c:pt idx="13">
                  <c:v>9.7675893395926194E-2</c:v>
                </c:pt>
                <c:pt idx="14">
                  <c:v>0.98355070219834961</c:v>
                </c:pt>
                <c:pt idx="15">
                  <c:v>0.66999788494912538</c:v>
                </c:pt>
                <c:pt idx="16">
                  <c:v>0.57140208151494931</c:v>
                </c:pt>
                <c:pt idx="17">
                  <c:v>0.92530182743252376</c:v>
                </c:pt>
                <c:pt idx="18">
                  <c:v>0.43384997662967595</c:v>
                </c:pt>
                <c:pt idx="19">
                  <c:v>0.74400122057347495</c:v>
                </c:pt>
                <c:pt idx="20">
                  <c:v>0.92942976826681734</c:v>
                </c:pt>
                <c:pt idx="21">
                  <c:v>0.22729191532506332</c:v>
                </c:pt>
                <c:pt idx="22">
                  <c:v>0.11990681006081516</c:v>
                </c:pt>
                <c:pt idx="23">
                  <c:v>0.75982772859088188</c:v>
                </c:pt>
              </c:numCache>
            </c:numRef>
          </c:yVal>
        </c:ser>
        <c:axId val="145505280"/>
        <c:axId val="145507072"/>
      </c:scatterChart>
      <c:valAx>
        <c:axId val="145505280"/>
        <c:scaling>
          <c:orientation val="minMax"/>
          <c:max val="7"/>
          <c:min val="-5"/>
        </c:scaling>
        <c:axPos val="b"/>
        <c:numFmt formatCode="General" sourceLinked="1"/>
        <c:tickLblPos val="nextTo"/>
        <c:crossAx val="145507072"/>
        <c:crosses val="autoZero"/>
        <c:crossBetween val="midCat"/>
      </c:valAx>
      <c:valAx>
        <c:axId val="145507072"/>
        <c:scaling>
          <c:orientation val="minMax"/>
          <c:max val="1"/>
          <c:min val="0"/>
        </c:scaling>
        <c:axPos val="l"/>
        <c:majorGridlines/>
        <c:numFmt formatCode="General" sourceLinked="1"/>
        <c:tickLblPos val="nextTo"/>
        <c:crossAx val="145505280"/>
        <c:crossesAt val="-5"/>
        <c:crossBetween val="midCat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Week4!$F$113:$F$136</c:f>
              <c:numCache>
                <c:formatCode>General</c:formatCode>
                <c:ptCount val="24"/>
                <c:pt idx="0">
                  <c:v>29.668107258645609</c:v>
                </c:pt>
                <c:pt idx="1">
                  <c:v>30.011182369913847</c:v>
                </c:pt>
                <c:pt idx="2">
                  <c:v>28.422465357558316</c:v>
                </c:pt>
                <c:pt idx="3">
                  <c:v>28.470336303316671</c:v>
                </c:pt>
                <c:pt idx="4">
                  <c:v>30.14050041088608</c:v>
                </c:pt>
                <c:pt idx="5">
                  <c:v>26.255307750622606</c:v>
                </c:pt>
                <c:pt idx="6">
                  <c:v>32.927320815693875</c:v>
                </c:pt>
                <c:pt idx="7">
                  <c:v>31.949623236004062</c:v>
                </c:pt>
                <c:pt idx="8">
                  <c:v>32.695279703615164</c:v>
                </c:pt>
                <c:pt idx="9">
                  <c:v>30.94034412959866</c:v>
                </c:pt>
                <c:pt idx="10">
                  <c:v>34.167976159931342</c:v>
                </c:pt>
                <c:pt idx="11">
                  <c:v>33.130772335166895</c:v>
                </c:pt>
                <c:pt idx="12">
                  <c:v>30.108254009923851</c:v>
                </c:pt>
                <c:pt idx="13">
                  <c:v>40.734274219786229</c:v>
                </c:pt>
                <c:pt idx="14">
                  <c:v>35.583160993912827</c:v>
                </c:pt>
                <c:pt idx="15">
                  <c:v>39.197417398668918</c:v>
                </c:pt>
                <c:pt idx="16">
                  <c:v>43.367176236495965</c:v>
                </c:pt>
                <c:pt idx="17">
                  <c:v>33.231168346410129</c:v>
                </c:pt>
                <c:pt idx="18">
                  <c:v>38.393251997353161</c:v>
                </c:pt>
                <c:pt idx="19">
                  <c:v>42.558356715453698</c:v>
                </c:pt>
                <c:pt idx="20">
                  <c:v>33.54266193096278</c:v>
                </c:pt>
                <c:pt idx="21">
                  <c:v>41.11424985174321</c:v>
                </c:pt>
                <c:pt idx="22">
                  <c:v>40.380561120571699</c:v>
                </c:pt>
                <c:pt idx="23">
                  <c:v>43.710251347764213</c:v>
                </c:pt>
              </c:numCache>
            </c:numRef>
          </c:xVal>
          <c:yVal>
            <c:numRef>
              <c:f>Week4!$J$113:$J$136</c:f>
              <c:numCache>
                <c:formatCode>General</c:formatCode>
                <c:ptCount val="24"/>
                <c:pt idx="0">
                  <c:v>-3.7681072586456104</c:v>
                </c:pt>
                <c:pt idx="1">
                  <c:v>-0.51118236991384691</c:v>
                </c:pt>
                <c:pt idx="2">
                  <c:v>-0.52246535755831758</c:v>
                </c:pt>
                <c:pt idx="3">
                  <c:v>-2.5703363033166724</c:v>
                </c:pt>
                <c:pt idx="4">
                  <c:v>-0.24050041088608154</c:v>
                </c:pt>
                <c:pt idx="5">
                  <c:v>3.6446922493773926</c:v>
                </c:pt>
                <c:pt idx="6">
                  <c:v>-2.0273208156938765</c:v>
                </c:pt>
                <c:pt idx="7">
                  <c:v>-3.0496232360040629</c:v>
                </c:pt>
                <c:pt idx="8">
                  <c:v>3.2047202963848349</c:v>
                </c:pt>
                <c:pt idx="9">
                  <c:v>0.55965587040133968</c:v>
                </c:pt>
                <c:pt idx="10">
                  <c:v>-3.1679761599313423</c:v>
                </c:pt>
                <c:pt idx="11">
                  <c:v>-2.2307723351668969</c:v>
                </c:pt>
                <c:pt idx="12">
                  <c:v>-0.1082540099238507</c:v>
                </c:pt>
                <c:pt idx="13">
                  <c:v>-3.8342742197862307</c:v>
                </c:pt>
                <c:pt idx="14">
                  <c:v>6.3168390060871715</c:v>
                </c:pt>
                <c:pt idx="15">
                  <c:v>1.3025826013310819</c:v>
                </c:pt>
                <c:pt idx="16">
                  <c:v>0.53282376350403382</c:v>
                </c:pt>
                <c:pt idx="17">
                  <c:v>4.2688316535898707</c:v>
                </c:pt>
                <c:pt idx="18">
                  <c:v>-0.49325199735316261</c:v>
                </c:pt>
                <c:pt idx="19">
                  <c:v>1.9416432845463021</c:v>
                </c:pt>
                <c:pt idx="20">
                  <c:v>4.357338069037219</c:v>
                </c:pt>
                <c:pt idx="21">
                  <c:v>-2.2142498517432117</c:v>
                </c:pt>
                <c:pt idx="22">
                  <c:v>-3.4805611205717</c:v>
                </c:pt>
                <c:pt idx="23">
                  <c:v>2.0897486522357838</c:v>
                </c:pt>
              </c:numCache>
            </c:numRef>
          </c:yVal>
        </c:ser>
        <c:axId val="145530240"/>
        <c:axId val="145532032"/>
      </c:scatterChart>
      <c:valAx>
        <c:axId val="145530240"/>
        <c:scaling>
          <c:orientation val="minMax"/>
          <c:max val="45"/>
          <c:min val="25"/>
        </c:scaling>
        <c:axPos val="b"/>
        <c:majorGridlines/>
        <c:numFmt formatCode="General" sourceLinked="1"/>
        <c:tickLblPos val="nextTo"/>
        <c:crossAx val="145532032"/>
        <c:crossesAt val="-7"/>
        <c:crossBetween val="midCat"/>
      </c:valAx>
      <c:valAx>
        <c:axId val="145532032"/>
        <c:scaling>
          <c:orientation val="minMax"/>
          <c:max val="7"/>
          <c:min val="-7"/>
        </c:scaling>
        <c:axPos val="l"/>
        <c:majorGridlines/>
        <c:numFmt formatCode="General" sourceLinked="1"/>
        <c:tickLblPos val="nextTo"/>
        <c:crossAx val="145530240"/>
        <c:crosses val="autoZero"/>
        <c:crossBetween val="midCat"/>
        <c:majorUnit val="1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2</xdr:col>
      <xdr:colOff>571500</xdr:colOff>
      <xdr:row>9</xdr:row>
      <xdr:rowOff>0</xdr:rowOff>
    </xdr:to>
    <xdr:cxnSp macro="">
      <xdr:nvCxnSpPr>
        <xdr:cNvPr id="3" name="Straight Connector 2"/>
        <xdr:cNvCxnSpPr/>
      </xdr:nvCxnSpPr>
      <xdr:spPr>
        <a:xfrm>
          <a:off x="1219200" y="19431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571500</xdr:colOff>
      <xdr:row>11</xdr:row>
      <xdr:rowOff>0</xdr:rowOff>
    </xdr:to>
    <xdr:cxnSp macro="">
      <xdr:nvCxnSpPr>
        <xdr:cNvPr id="4" name="Straight Connector 3"/>
        <xdr:cNvCxnSpPr/>
      </xdr:nvCxnSpPr>
      <xdr:spPr>
        <a:xfrm>
          <a:off x="1247775" y="19431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78</xdr:row>
      <xdr:rowOff>0</xdr:rowOff>
    </xdr:from>
    <xdr:to>
      <xdr:col>2</xdr:col>
      <xdr:colOff>571500</xdr:colOff>
      <xdr:row>78</xdr:row>
      <xdr:rowOff>0</xdr:rowOff>
    </xdr:to>
    <xdr:cxnSp macro="">
      <xdr:nvCxnSpPr>
        <xdr:cNvPr id="5" name="Straight Connector 4"/>
        <xdr:cNvCxnSpPr/>
      </xdr:nvCxnSpPr>
      <xdr:spPr>
        <a:xfrm>
          <a:off x="1247775" y="19431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80</xdr:row>
      <xdr:rowOff>0</xdr:rowOff>
    </xdr:from>
    <xdr:to>
      <xdr:col>2</xdr:col>
      <xdr:colOff>571500</xdr:colOff>
      <xdr:row>80</xdr:row>
      <xdr:rowOff>0</xdr:rowOff>
    </xdr:to>
    <xdr:cxnSp macro="">
      <xdr:nvCxnSpPr>
        <xdr:cNvPr id="6" name="Straight Connector 5"/>
        <xdr:cNvCxnSpPr/>
      </xdr:nvCxnSpPr>
      <xdr:spPr>
        <a:xfrm>
          <a:off x="1247775" y="2362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136</xdr:row>
      <xdr:rowOff>0</xdr:rowOff>
    </xdr:from>
    <xdr:to>
      <xdr:col>2</xdr:col>
      <xdr:colOff>571500</xdr:colOff>
      <xdr:row>136</xdr:row>
      <xdr:rowOff>0</xdr:rowOff>
    </xdr:to>
    <xdr:cxnSp macro="">
      <xdr:nvCxnSpPr>
        <xdr:cNvPr id="10" name="Straight Connector 9"/>
        <xdr:cNvCxnSpPr/>
      </xdr:nvCxnSpPr>
      <xdr:spPr>
        <a:xfrm>
          <a:off x="1524000" y="16306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138</xdr:row>
      <xdr:rowOff>0</xdr:rowOff>
    </xdr:from>
    <xdr:to>
      <xdr:col>2</xdr:col>
      <xdr:colOff>571500</xdr:colOff>
      <xdr:row>138</xdr:row>
      <xdr:rowOff>0</xdr:rowOff>
    </xdr:to>
    <xdr:cxnSp macro="">
      <xdr:nvCxnSpPr>
        <xdr:cNvPr id="11" name="Straight Connector 10"/>
        <xdr:cNvCxnSpPr/>
      </xdr:nvCxnSpPr>
      <xdr:spPr>
        <a:xfrm>
          <a:off x="1524000" y="167259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154</xdr:row>
      <xdr:rowOff>95250</xdr:rowOff>
    </xdr:from>
    <xdr:to>
      <xdr:col>9</xdr:col>
      <xdr:colOff>447674</xdr:colOff>
      <xdr:row>169</xdr:row>
      <xdr:rowOff>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63</xdr:row>
      <xdr:rowOff>47625</xdr:rowOff>
    </xdr:from>
    <xdr:to>
      <xdr:col>7</xdr:col>
      <xdr:colOff>476250</xdr:colOff>
      <xdr:row>69</xdr:row>
      <xdr:rowOff>95250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38100</xdr:colOff>
      <xdr:row>189</xdr:row>
      <xdr:rowOff>38100</xdr:rowOff>
    </xdr:from>
    <xdr:to>
      <xdr:col>7</xdr:col>
      <xdr:colOff>514350</xdr:colOff>
      <xdr:row>203</xdr:row>
      <xdr:rowOff>114300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0</xdr:colOff>
      <xdr:row>211</xdr:row>
      <xdr:rowOff>0</xdr:rowOff>
    </xdr:from>
    <xdr:to>
      <xdr:col>2</xdr:col>
      <xdr:colOff>571500</xdr:colOff>
      <xdr:row>211</xdr:row>
      <xdr:rowOff>0</xdr:rowOff>
    </xdr:to>
    <xdr:cxnSp macro="">
      <xdr:nvCxnSpPr>
        <xdr:cNvPr id="15" name="Straight Connector 14"/>
        <xdr:cNvCxnSpPr/>
      </xdr:nvCxnSpPr>
      <xdr:spPr>
        <a:xfrm>
          <a:off x="1524000" y="28813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213</xdr:row>
      <xdr:rowOff>0</xdr:rowOff>
    </xdr:from>
    <xdr:to>
      <xdr:col>2</xdr:col>
      <xdr:colOff>571500</xdr:colOff>
      <xdr:row>213</xdr:row>
      <xdr:rowOff>0</xdr:rowOff>
    </xdr:to>
    <xdr:cxnSp macro="">
      <xdr:nvCxnSpPr>
        <xdr:cNvPr id="16" name="Straight Connector 15"/>
        <xdr:cNvCxnSpPr/>
      </xdr:nvCxnSpPr>
      <xdr:spPr>
        <a:xfrm>
          <a:off x="1524000" y="292322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273</xdr:row>
      <xdr:rowOff>0</xdr:rowOff>
    </xdr:from>
    <xdr:to>
      <xdr:col>2</xdr:col>
      <xdr:colOff>571500</xdr:colOff>
      <xdr:row>273</xdr:row>
      <xdr:rowOff>0</xdr:rowOff>
    </xdr:to>
    <xdr:cxnSp macro="">
      <xdr:nvCxnSpPr>
        <xdr:cNvPr id="18" name="Straight Connector 17"/>
        <xdr:cNvCxnSpPr/>
      </xdr:nvCxnSpPr>
      <xdr:spPr>
        <a:xfrm>
          <a:off x="1524000" y="436530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275</xdr:row>
      <xdr:rowOff>0</xdr:rowOff>
    </xdr:from>
    <xdr:to>
      <xdr:col>2</xdr:col>
      <xdr:colOff>571500</xdr:colOff>
      <xdr:row>275</xdr:row>
      <xdr:rowOff>0</xdr:rowOff>
    </xdr:to>
    <xdr:cxnSp macro="">
      <xdr:nvCxnSpPr>
        <xdr:cNvPr id="19" name="Straight Connector 18"/>
        <xdr:cNvCxnSpPr/>
      </xdr:nvCxnSpPr>
      <xdr:spPr>
        <a:xfrm>
          <a:off x="1524000" y="44072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251</xdr:row>
      <xdr:rowOff>47624</xdr:rowOff>
    </xdr:from>
    <xdr:to>
      <xdr:col>9</xdr:col>
      <xdr:colOff>390525</xdr:colOff>
      <xdr:row>265</xdr:row>
      <xdr:rowOff>114299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23</xdr:row>
      <xdr:rowOff>0</xdr:rowOff>
    </xdr:from>
    <xdr:to>
      <xdr:col>2</xdr:col>
      <xdr:colOff>571500</xdr:colOff>
      <xdr:row>23</xdr:row>
      <xdr:rowOff>0</xdr:rowOff>
    </xdr:to>
    <xdr:cxnSp macro="">
      <xdr:nvCxnSpPr>
        <xdr:cNvPr id="2" name="Straight Connector 1"/>
        <xdr:cNvCxnSpPr/>
      </xdr:nvCxnSpPr>
      <xdr:spPr>
        <a:xfrm>
          <a:off x="1524000" y="17068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571500</xdr:colOff>
      <xdr:row>25</xdr:row>
      <xdr:rowOff>0</xdr:rowOff>
    </xdr:to>
    <xdr:cxnSp macro="">
      <xdr:nvCxnSpPr>
        <xdr:cNvPr id="3" name="Straight Connector 2"/>
        <xdr:cNvCxnSpPr/>
      </xdr:nvCxnSpPr>
      <xdr:spPr>
        <a:xfrm>
          <a:off x="1524000" y="174879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571500</xdr:colOff>
      <xdr:row>50</xdr:row>
      <xdr:rowOff>0</xdr:rowOff>
    </xdr:to>
    <xdr:cxnSp macro="">
      <xdr:nvCxnSpPr>
        <xdr:cNvPr id="7" name="Straight Connector 6"/>
        <xdr:cNvCxnSpPr/>
      </xdr:nvCxnSpPr>
      <xdr:spPr>
        <a:xfrm>
          <a:off x="1524000" y="17068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52</xdr:row>
      <xdr:rowOff>0</xdr:rowOff>
    </xdr:from>
    <xdr:to>
      <xdr:col>2</xdr:col>
      <xdr:colOff>571500</xdr:colOff>
      <xdr:row>52</xdr:row>
      <xdr:rowOff>0</xdr:rowOff>
    </xdr:to>
    <xdr:cxnSp macro="">
      <xdr:nvCxnSpPr>
        <xdr:cNvPr id="8" name="Straight Connector 7"/>
        <xdr:cNvCxnSpPr/>
      </xdr:nvCxnSpPr>
      <xdr:spPr>
        <a:xfrm>
          <a:off x="1524000" y="174879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35</xdr:row>
      <xdr:rowOff>47625</xdr:rowOff>
    </xdr:from>
    <xdr:to>
      <xdr:col>7</xdr:col>
      <xdr:colOff>476250</xdr:colOff>
      <xdr:row>41</xdr:row>
      <xdr:rowOff>95250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19051</xdr:colOff>
      <xdr:row>92</xdr:row>
      <xdr:rowOff>19050</xdr:rowOff>
    </xdr:from>
    <xdr:to>
      <xdr:col>9</xdr:col>
      <xdr:colOff>371476</xdr:colOff>
      <xdr:row>108</xdr:row>
      <xdr:rowOff>0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145</xdr:row>
      <xdr:rowOff>0</xdr:rowOff>
    </xdr:from>
    <xdr:to>
      <xdr:col>2</xdr:col>
      <xdr:colOff>571500</xdr:colOff>
      <xdr:row>145</xdr:row>
      <xdr:rowOff>0</xdr:rowOff>
    </xdr:to>
    <xdr:cxnSp macro="">
      <xdr:nvCxnSpPr>
        <xdr:cNvPr id="21" name="Straight Connector 20"/>
        <xdr:cNvCxnSpPr/>
      </xdr:nvCxnSpPr>
      <xdr:spPr>
        <a:xfrm>
          <a:off x="1524000" y="28813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571500</xdr:colOff>
      <xdr:row>147</xdr:row>
      <xdr:rowOff>0</xdr:rowOff>
    </xdr:to>
    <xdr:cxnSp macro="">
      <xdr:nvCxnSpPr>
        <xdr:cNvPr id="22" name="Straight Connector 21"/>
        <xdr:cNvCxnSpPr/>
      </xdr:nvCxnSpPr>
      <xdr:spPr>
        <a:xfrm>
          <a:off x="1524000" y="292322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163</xdr:row>
      <xdr:rowOff>95250</xdr:rowOff>
    </xdr:from>
    <xdr:to>
      <xdr:col>9</xdr:col>
      <xdr:colOff>447674</xdr:colOff>
      <xdr:row>178</xdr:row>
      <xdr:rowOff>0</xdr:rowOff>
    </xdr:to>
    <xdr:graphicFrame macro="">
      <xdr:nvGraphicFramePr>
        <xdr:cNvPr id="23" name="Chart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333375</xdr:colOff>
      <xdr:row>100</xdr:row>
      <xdr:rowOff>0</xdr:rowOff>
    </xdr:from>
    <xdr:to>
      <xdr:col>9</xdr:col>
      <xdr:colOff>200025</xdr:colOff>
      <xdr:row>100</xdr:row>
      <xdr:rowOff>0</xdr:rowOff>
    </xdr:to>
    <xdr:cxnSp macro="">
      <xdr:nvCxnSpPr>
        <xdr:cNvPr id="25" name="Straight Connector 24"/>
        <xdr:cNvCxnSpPr/>
      </xdr:nvCxnSpPr>
      <xdr:spPr>
        <a:xfrm>
          <a:off x="333375" y="20926425"/>
          <a:ext cx="5095875" cy="0"/>
        </a:xfrm>
        <a:prstGeom prst="line">
          <a:avLst/>
        </a:prstGeom>
        <a:ln w="158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78</xdr:row>
      <xdr:rowOff>114300</xdr:rowOff>
    </xdr:from>
    <xdr:to>
      <xdr:col>9</xdr:col>
      <xdr:colOff>342900</xdr:colOff>
      <xdr:row>90</xdr:row>
      <xdr:rowOff>180974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123824</xdr:colOff>
      <xdr:row>208</xdr:row>
      <xdr:rowOff>28575</xdr:rowOff>
    </xdr:from>
    <xdr:to>
      <xdr:col>10</xdr:col>
      <xdr:colOff>9524</xdr:colOff>
      <xdr:row>222</xdr:row>
      <xdr:rowOff>104775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19049</xdr:colOff>
      <xdr:row>225</xdr:row>
      <xdr:rowOff>28574</xdr:rowOff>
    </xdr:from>
    <xdr:to>
      <xdr:col>9</xdr:col>
      <xdr:colOff>361950</xdr:colOff>
      <xdr:row>242</xdr:row>
      <xdr:rowOff>190499</xdr:rowOff>
    </xdr:to>
    <xdr:graphicFrame macro="">
      <xdr:nvGraphicFramePr>
        <xdr:cNvPr id="30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304800</xdr:colOff>
      <xdr:row>233</xdr:row>
      <xdr:rowOff>114300</xdr:rowOff>
    </xdr:from>
    <xdr:to>
      <xdr:col>9</xdr:col>
      <xdr:colOff>219075</xdr:colOff>
      <xdr:row>233</xdr:row>
      <xdr:rowOff>123825</xdr:rowOff>
    </xdr:to>
    <xdr:cxnSp macro="">
      <xdr:nvCxnSpPr>
        <xdr:cNvPr id="31" name="Straight Connector 30"/>
        <xdr:cNvCxnSpPr/>
      </xdr:nvCxnSpPr>
      <xdr:spPr>
        <a:xfrm>
          <a:off x="304800" y="47501175"/>
          <a:ext cx="5505450" cy="9525"/>
        </a:xfrm>
        <a:prstGeom prst="line">
          <a:avLst/>
        </a:prstGeom>
        <a:ln w="15875"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5"/>
  <sheetViews>
    <sheetView topLeftCell="A124" workbookViewId="0">
      <selection activeCell="H127" sqref="A104:H127"/>
    </sheetView>
  </sheetViews>
  <sheetFormatPr defaultRowHeight="15"/>
  <cols>
    <col min="1" max="1" width="10.42578125" style="1" customWidth="1"/>
    <col min="2" max="2" width="12.42578125" customWidth="1"/>
    <col min="4" max="4" width="8.85546875" customWidth="1"/>
    <col min="5" max="5" width="8" bestFit="1" customWidth="1"/>
    <col min="6" max="6" width="7.7109375" bestFit="1" customWidth="1"/>
    <col min="7" max="7" width="4.85546875" customWidth="1"/>
    <col min="8" max="8" width="12.140625" customWidth="1"/>
    <col min="9" max="9" width="4.85546875" customWidth="1"/>
  </cols>
  <sheetData>
    <row r="1" spans="1:10">
      <c r="A1" s="10" t="s">
        <v>0</v>
      </c>
    </row>
    <row r="2" spans="1:10">
      <c r="A2" s="1" t="s">
        <v>1</v>
      </c>
      <c r="B2" s="2">
        <v>20</v>
      </c>
    </row>
    <row r="3" spans="1:10" ht="18">
      <c r="A3" s="1" t="s">
        <v>2</v>
      </c>
      <c r="B3" s="3">
        <v>12.75</v>
      </c>
    </row>
    <row r="4" spans="1:10" ht="18">
      <c r="A4" s="1" t="s">
        <v>3</v>
      </c>
      <c r="B4" s="2">
        <v>8.86</v>
      </c>
    </row>
    <row r="5" spans="1:10" ht="18">
      <c r="A5" s="1" t="s">
        <v>4</v>
      </c>
      <c r="B5" s="2">
        <v>1478</v>
      </c>
    </row>
    <row r="6" spans="1:10" ht="18">
      <c r="A6" s="1" t="s">
        <v>5</v>
      </c>
      <c r="B6" s="2">
        <v>143215.79999999999</v>
      </c>
    </row>
    <row r="7" spans="1:10" ht="18">
      <c r="A7" s="1" t="s">
        <v>13</v>
      </c>
      <c r="B7" s="2">
        <v>1083.67</v>
      </c>
      <c r="G7" s="5"/>
    </row>
    <row r="8" spans="1:10">
      <c r="A8" s="11" t="s">
        <v>6</v>
      </c>
    </row>
    <row r="9" spans="1:10" ht="18" customHeight="1">
      <c r="A9" s="67" t="s">
        <v>7</v>
      </c>
      <c r="B9" s="68" t="s">
        <v>10</v>
      </c>
      <c r="C9" s="6" t="s">
        <v>8</v>
      </c>
      <c r="D9" s="69" t="s">
        <v>11</v>
      </c>
      <c r="E9" s="69"/>
      <c r="F9" s="69"/>
      <c r="G9" s="69"/>
      <c r="H9" s="69"/>
      <c r="I9" s="69"/>
      <c r="J9" s="69">
        <f>B6-(B5^2)/B2</f>
        <v>33991.599999999991</v>
      </c>
    </row>
    <row r="10" spans="1:10">
      <c r="A10" s="67"/>
      <c r="B10" s="68"/>
      <c r="C10" s="4" t="s">
        <v>9</v>
      </c>
      <c r="D10" s="69"/>
      <c r="E10" s="69"/>
      <c r="F10" s="69"/>
      <c r="G10" s="69"/>
      <c r="H10" s="69"/>
      <c r="I10" s="69"/>
      <c r="J10" s="69"/>
    </row>
    <row r="11" spans="1:10" ht="18">
      <c r="A11" s="67" t="s">
        <v>12</v>
      </c>
      <c r="B11" s="68" t="s">
        <v>15</v>
      </c>
      <c r="C11" s="7" t="s">
        <v>14</v>
      </c>
      <c r="D11" s="69" t="s">
        <v>16</v>
      </c>
      <c r="E11" s="69"/>
      <c r="F11" s="69"/>
      <c r="G11" s="69"/>
      <c r="H11" s="69"/>
      <c r="I11" s="69"/>
      <c r="J11" s="69">
        <f>B7-B5*B3/B2</f>
        <v>141.44500000000005</v>
      </c>
    </row>
    <row r="12" spans="1:10">
      <c r="A12" s="67"/>
      <c r="B12" s="68"/>
      <c r="C12" s="4" t="s">
        <v>9</v>
      </c>
      <c r="D12" s="69"/>
      <c r="E12" s="69"/>
      <c r="F12" s="69"/>
      <c r="G12" s="69"/>
      <c r="H12" s="69"/>
      <c r="I12" s="69"/>
      <c r="J12" s="69"/>
    </row>
    <row r="14" spans="1:10" ht="18.75">
      <c r="A14" s="1" t="s">
        <v>21</v>
      </c>
      <c r="B14" s="4" t="s">
        <v>17</v>
      </c>
      <c r="C14" t="s">
        <v>18</v>
      </c>
      <c r="F14">
        <f>J11/J9</f>
        <v>4.1611751138516603E-3</v>
      </c>
    </row>
    <row r="15" spans="1:10">
      <c r="A15" s="1" t="s">
        <v>19</v>
      </c>
    </row>
    <row r="16" spans="1:10" ht="18.75">
      <c r="A16" s="1" t="s">
        <v>20</v>
      </c>
      <c r="B16" s="8" t="s">
        <v>22</v>
      </c>
      <c r="C16" t="s">
        <v>23</v>
      </c>
      <c r="H16">
        <f>B3/B2-F14*(B5/B2)</f>
        <v>0.32998915908636223</v>
      </c>
    </row>
    <row r="18" spans="1:11" ht="15.75">
      <c r="A18" s="9" t="s">
        <v>24</v>
      </c>
      <c r="B18" t="s">
        <v>25</v>
      </c>
    </row>
    <row r="19" spans="1:11">
      <c r="A19" s="11" t="s">
        <v>26</v>
      </c>
    </row>
    <row r="20" spans="1:11">
      <c r="B20" t="s">
        <v>27</v>
      </c>
    </row>
    <row r="21" spans="1:11" ht="15.75">
      <c r="A21" s="9" t="s">
        <v>24</v>
      </c>
      <c r="B21" t="s">
        <v>28</v>
      </c>
    </row>
    <row r="22" spans="1:11">
      <c r="A22" s="1" t="s">
        <v>29</v>
      </c>
      <c r="B22">
        <f>F14+H16*85</f>
        <v>28.053239697454639</v>
      </c>
    </row>
    <row r="23" spans="1:11">
      <c r="A23" s="11" t="s">
        <v>30</v>
      </c>
    </row>
    <row r="24" spans="1:11">
      <c r="B24" t="s">
        <v>31</v>
      </c>
    </row>
    <row r="25" spans="1:11" ht="15.75">
      <c r="A25" s="9" t="s">
        <v>24</v>
      </c>
      <c r="B25" t="s">
        <v>32</v>
      </c>
    </row>
    <row r="26" spans="1:11">
      <c r="A26" s="1" t="s">
        <v>29</v>
      </c>
      <c r="B26">
        <f>F14+H16*90</f>
        <v>29.703185492886451</v>
      </c>
    </row>
    <row r="27" spans="1:11">
      <c r="A27" s="11" t="s">
        <v>33</v>
      </c>
    </row>
    <row r="28" spans="1:11">
      <c r="A28" s="12" t="s">
        <v>34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1:11">
      <c r="A29" s="12" t="s">
        <v>35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1:11" ht="18">
      <c r="A30" s="14"/>
      <c r="B30" s="14" t="s">
        <v>42</v>
      </c>
      <c r="C30" s="14" t="s">
        <v>43</v>
      </c>
      <c r="D30" s="14" t="s">
        <v>45</v>
      </c>
      <c r="E30" s="14" t="s">
        <v>46</v>
      </c>
      <c r="F30" s="15" t="s">
        <v>47</v>
      </c>
      <c r="G30" s="12"/>
      <c r="H30" s="15" t="s">
        <v>60</v>
      </c>
      <c r="J30" s="15" t="s">
        <v>52</v>
      </c>
      <c r="K30" s="12"/>
    </row>
    <row r="31" spans="1:11">
      <c r="A31" s="16"/>
      <c r="B31" s="17">
        <v>8.39</v>
      </c>
      <c r="C31" s="17">
        <v>105.5</v>
      </c>
      <c r="D31" s="17">
        <f>B31*C31</f>
        <v>885.1450000000001</v>
      </c>
      <c r="E31" s="17">
        <f>B31^2</f>
        <v>70.392100000000013</v>
      </c>
      <c r="F31" s="17">
        <f>C31^2</f>
        <v>11130.25</v>
      </c>
      <c r="H31" s="17">
        <f>$H$85+$F$83*(B31)</f>
        <v>98.865225689783173</v>
      </c>
      <c r="J31" s="17">
        <f>(C31-H31)^2</f>
        <v>44.020230147513168</v>
      </c>
    </row>
    <row r="32" spans="1:11">
      <c r="A32" s="16"/>
      <c r="B32" s="17">
        <v>7.67</v>
      </c>
      <c r="C32" s="17">
        <v>97.4</v>
      </c>
      <c r="D32" s="17">
        <f t="shared" ref="D32:D62" si="0">B32*C32</f>
        <v>747.05799999999999</v>
      </c>
      <c r="E32" s="17">
        <f t="shared" ref="E32:E62" si="1">B32^2</f>
        <v>58.828899999999997</v>
      </c>
      <c r="F32" s="17">
        <f t="shared" ref="F32:F62" si="2">C32^2</f>
        <v>9486.76</v>
      </c>
      <c r="H32" s="17">
        <f t="shared" ref="H32:H62" si="3">$H$85+$F$83*(B32)</f>
        <v>91.599169575471066</v>
      </c>
      <c r="J32" s="17">
        <f>(C32-H32)^2</f>
        <v>33.649633614140598</v>
      </c>
    </row>
    <row r="33" spans="1:10">
      <c r="A33" s="16"/>
      <c r="B33" s="17">
        <v>7.66</v>
      </c>
      <c r="C33" s="17">
        <v>96.9</v>
      </c>
      <c r="D33" s="17">
        <f t="shared" si="0"/>
        <v>742.25400000000002</v>
      </c>
      <c r="E33" s="17">
        <f t="shared" si="1"/>
        <v>58.675600000000003</v>
      </c>
      <c r="F33" s="17">
        <f t="shared" si="2"/>
        <v>9389.61</v>
      </c>
      <c r="H33" s="17">
        <f t="shared" si="3"/>
        <v>91.498252129438953</v>
      </c>
      <c r="J33" s="17">
        <f t="shared" ref="J33:J62" si="4">(C33-H33)^2</f>
        <v>29.17888005711087</v>
      </c>
    </row>
    <row r="34" spans="1:10">
      <c r="A34" s="16"/>
      <c r="B34" s="17">
        <v>7.98</v>
      </c>
      <c r="C34" s="17">
        <v>96.2</v>
      </c>
      <c r="D34" s="17">
        <f t="shared" si="0"/>
        <v>767.67600000000004</v>
      </c>
      <c r="E34" s="17">
        <f t="shared" si="1"/>
        <v>63.680400000000006</v>
      </c>
      <c r="F34" s="17">
        <f t="shared" si="2"/>
        <v>9254.44</v>
      </c>
      <c r="H34" s="17">
        <f t="shared" si="3"/>
        <v>94.727610402466553</v>
      </c>
      <c r="J34" s="17">
        <f t="shared" si="4"/>
        <v>2.167931126924715</v>
      </c>
    </row>
    <row r="35" spans="1:10">
      <c r="A35" s="16"/>
      <c r="B35" s="17">
        <v>7.21</v>
      </c>
      <c r="C35" s="17">
        <v>95</v>
      </c>
      <c r="D35" s="17">
        <f t="shared" si="0"/>
        <v>684.95</v>
      </c>
      <c r="E35" s="17">
        <f t="shared" si="1"/>
        <v>51.984099999999998</v>
      </c>
      <c r="F35" s="17">
        <f t="shared" si="2"/>
        <v>9025</v>
      </c>
      <c r="H35" s="17">
        <f t="shared" si="3"/>
        <v>86.956967057993893</v>
      </c>
      <c r="J35" s="17">
        <f t="shared" si="4"/>
        <v>64.69037890619542</v>
      </c>
    </row>
    <row r="36" spans="1:10">
      <c r="A36" s="16"/>
      <c r="B36" s="17">
        <v>7.53</v>
      </c>
      <c r="C36" s="17">
        <v>93.8</v>
      </c>
      <c r="D36" s="17">
        <f t="shared" si="0"/>
        <v>706.31399999999996</v>
      </c>
      <c r="E36" s="17">
        <f t="shared" si="1"/>
        <v>56.700900000000004</v>
      </c>
      <c r="F36" s="17">
        <f t="shared" si="2"/>
        <v>8798.4399999999987</v>
      </c>
      <c r="H36" s="17">
        <f t="shared" si="3"/>
        <v>90.186325331021493</v>
      </c>
      <c r="J36" s="17">
        <f t="shared" si="4"/>
        <v>13.058644613216902</v>
      </c>
    </row>
    <row r="37" spans="1:10">
      <c r="A37" s="16"/>
      <c r="B37" s="17">
        <v>8.01</v>
      </c>
      <c r="C37" s="17">
        <v>92.7</v>
      </c>
      <c r="D37" s="17">
        <f t="shared" si="0"/>
        <v>742.52700000000004</v>
      </c>
      <c r="E37" s="17">
        <f t="shared" si="1"/>
        <v>64.1601</v>
      </c>
      <c r="F37" s="17">
        <f t="shared" si="2"/>
        <v>8593.2900000000009</v>
      </c>
      <c r="H37" s="17">
        <f t="shared" si="3"/>
        <v>95.030362740562893</v>
      </c>
      <c r="J37" s="17">
        <f t="shared" si="4"/>
        <v>5.430590502603784</v>
      </c>
    </row>
    <row r="38" spans="1:10">
      <c r="A38" s="16"/>
      <c r="B38" s="17">
        <v>7.66</v>
      </c>
      <c r="C38" s="17">
        <v>91.4</v>
      </c>
      <c r="D38" s="17">
        <f t="shared" si="0"/>
        <v>700.12400000000002</v>
      </c>
      <c r="E38" s="17">
        <f t="shared" si="1"/>
        <v>58.675600000000003</v>
      </c>
      <c r="F38" s="17">
        <f t="shared" si="2"/>
        <v>8353.9600000000009</v>
      </c>
      <c r="H38" s="17">
        <f t="shared" si="3"/>
        <v>91.498252129438953</v>
      </c>
      <c r="J38" s="17">
        <f t="shared" si="4"/>
        <v>9.6534809392876189E-3</v>
      </c>
    </row>
    <row r="39" spans="1:10">
      <c r="A39" s="16"/>
      <c r="B39" s="17">
        <v>7.21</v>
      </c>
      <c r="C39" s="17">
        <v>90.2</v>
      </c>
      <c r="D39" s="17">
        <f t="shared" si="0"/>
        <v>650.34199999999998</v>
      </c>
      <c r="E39" s="17">
        <f t="shared" si="1"/>
        <v>51.984099999999998</v>
      </c>
      <c r="F39" s="17">
        <f t="shared" si="2"/>
        <v>8136.0400000000009</v>
      </c>
      <c r="H39" s="17">
        <f t="shared" si="3"/>
        <v>86.956967057993893</v>
      </c>
      <c r="J39" s="17">
        <f t="shared" si="4"/>
        <v>10.517262662936805</v>
      </c>
    </row>
    <row r="40" spans="1:10">
      <c r="A40" s="16"/>
      <c r="B40" s="17">
        <v>7.16</v>
      </c>
      <c r="C40" s="17">
        <v>89.4</v>
      </c>
      <c r="D40" s="17">
        <f t="shared" si="0"/>
        <v>640.10400000000004</v>
      </c>
      <c r="E40" s="17">
        <f t="shared" si="1"/>
        <v>51.265599999999999</v>
      </c>
      <c r="F40" s="17">
        <f t="shared" si="2"/>
        <v>7992.3600000000006</v>
      </c>
      <c r="H40" s="17">
        <f t="shared" si="3"/>
        <v>86.452379827833326</v>
      </c>
      <c r="J40" s="17">
        <f t="shared" si="4"/>
        <v>8.6884646793639266</v>
      </c>
    </row>
    <row r="41" spans="1:10">
      <c r="A41" s="16"/>
      <c r="B41" s="17">
        <v>7.93</v>
      </c>
      <c r="C41" s="17">
        <v>87.7</v>
      </c>
      <c r="D41" s="17">
        <f t="shared" si="0"/>
        <v>695.46100000000001</v>
      </c>
      <c r="E41" s="17">
        <f t="shared" si="1"/>
        <v>62.884899999999995</v>
      </c>
      <c r="F41" s="17">
        <f t="shared" si="2"/>
        <v>7691.2900000000009</v>
      </c>
      <c r="H41" s="17">
        <f t="shared" si="3"/>
        <v>94.223023172305986</v>
      </c>
      <c r="J41" s="17">
        <f t="shared" si="4"/>
        <v>42.549831306440808</v>
      </c>
    </row>
    <row r="42" spans="1:10">
      <c r="A42" s="16"/>
      <c r="B42" s="17">
        <v>7.1</v>
      </c>
      <c r="C42" s="17">
        <v>87.5</v>
      </c>
      <c r="D42" s="17">
        <f t="shared" si="0"/>
        <v>621.25</v>
      </c>
      <c r="E42" s="17">
        <f t="shared" si="1"/>
        <v>50.41</v>
      </c>
      <c r="F42" s="17">
        <f t="shared" si="2"/>
        <v>7656.25</v>
      </c>
      <c r="H42" s="17">
        <f t="shared" si="3"/>
        <v>85.846875151640646</v>
      </c>
      <c r="J42" s="17">
        <f t="shared" si="4"/>
        <v>2.7328217642631385</v>
      </c>
    </row>
    <row r="43" spans="1:10">
      <c r="A43" s="16"/>
      <c r="B43" s="17">
        <v>6.33</v>
      </c>
      <c r="C43" s="17">
        <v>87</v>
      </c>
      <c r="D43" s="17">
        <f t="shared" si="0"/>
        <v>550.71</v>
      </c>
      <c r="E43" s="17">
        <f t="shared" si="1"/>
        <v>40.068899999999999</v>
      </c>
      <c r="F43" s="17">
        <f t="shared" si="2"/>
        <v>7569</v>
      </c>
      <c r="H43" s="17">
        <f t="shared" si="3"/>
        <v>78.076231807167986</v>
      </c>
      <c r="J43" s="17">
        <f t="shared" si="4"/>
        <v>79.633638759400355</v>
      </c>
    </row>
    <row r="44" spans="1:10">
      <c r="A44" s="16"/>
      <c r="B44" s="17">
        <v>6.76</v>
      </c>
      <c r="C44" s="17">
        <v>86.4</v>
      </c>
      <c r="D44" s="17">
        <f t="shared" si="0"/>
        <v>584.06399999999996</v>
      </c>
      <c r="E44" s="17">
        <f t="shared" si="1"/>
        <v>45.697599999999994</v>
      </c>
      <c r="F44" s="17">
        <f t="shared" si="2"/>
        <v>7464.9600000000009</v>
      </c>
      <c r="H44" s="17">
        <f t="shared" si="3"/>
        <v>82.415681986548819</v>
      </c>
      <c r="J44" s="17">
        <f t="shared" si="4"/>
        <v>15.874790032311612</v>
      </c>
    </row>
    <row r="45" spans="1:10">
      <c r="A45" s="16"/>
      <c r="B45" s="17">
        <v>6.86</v>
      </c>
      <c r="C45" s="17">
        <v>86.4</v>
      </c>
      <c r="D45" s="17">
        <f t="shared" si="0"/>
        <v>592.70400000000006</v>
      </c>
      <c r="E45" s="17">
        <f t="shared" si="1"/>
        <v>47.059600000000003</v>
      </c>
      <c r="F45" s="17">
        <f t="shared" si="2"/>
        <v>7464.9600000000009</v>
      </c>
      <c r="H45" s="17">
        <f t="shared" si="3"/>
        <v>83.424856446869953</v>
      </c>
      <c r="J45" s="17">
        <f t="shared" si="4"/>
        <v>8.8514791617313158</v>
      </c>
    </row>
    <row r="46" spans="1:10">
      <c r="A46" s="16"/>
      <c r="B46" s="17">
        <v>7.35</v>
      </c>
      <c r="C46" s="17">
        <v>86</v>
      </c>
      <c r="D46" s="17">
        <f t="shared" si="0"/>
        <v>632.1</v>
      </c>
      <c r="E46" s="17">
        <f t="shared" si="1"/>
        <v>54.022499999999994</v>
      </c>
      <c r="F46" s="17">
        <f t="shared" si="2"/>
        <v>7396</v>
      </c>
      <c r="H46" s="17">
        <f t="shared" si="3"/>
        <v>88.369811302443466</v>
      </c>
      <c r="J46" s="17">
        <f t="shared" si="4"/>
        <v>5.6160056091887975</v>
      </c>
    </row>
    <row r="47" spans="1:10">
      <c r="A47" s="16"/>
      <c r="B47" s="17">
        <v>7.22</v>
      </c>
      <c r="C47" s="17">
        <v>85.4</v>
      </c>
      <c r="D47" s="17">
        <f t="shared" si="0"/>
        <v>616.58799999999997</v>
      </c>
      <c r="E47" s="17">
        <f t="shared" si="1"/>
        <v>52.128399999999999</v>
      </c>
      <c r="F47" s="17">
        <f t="shared" si="2"/>
        <v>7293.1600000000008</v>
      </c>
      <c r="H47" s="17">
        <f t="shared" si="3"/>
        <v>87.057884504026006</v>
      </c>
      <c r="J47" s="17">
        <f t="shared" si="4"/>
        <v>2.748581028689538</v>
      </c>
    </row>
    <row r="48" spans="1:10">
      <c r="A48" s="16"/>
      <c r="B48" s="17">
        <v>7.94</v>
      </c>
      <c r="C48" s="17">
        <v>84.7</v>
      </c>
      <c r="D48" s="17">
        <f t="shared" si="0"/>
        <v>672.51800000000003</v>
      </c>
      <c r="E48" s="17">
        <f t="shared" si="1"/>
        <v>63.043600000000005</v>
      </c>
      <c r="F48" s="17">
        <f t="shared" si="2"/>
        <v>7174.09</v>
      </c>
      <c r="H48" s="17">
        <f t="shared" si="3"/>
        <v>94.323940618338113</v>
      </c>
      <c r="J48" s="17">
        <f t="shared" si="4"/>
        <v>92.620233025298134</v>
      </c>
    </row>
    <row r="49" spans="1:10">
      <c r="A49" s="16"/>
      <c r="B49" s="17">
        <v>6.41</v>
      </c>
      <c r="C49" s="17">
        <v>84.3</v>
      </c>
      <c r="D49" s="17">
        <f t="shared" si="0"/>
        <v>540.36299999999994</v>
      </c>
      <c r="E49" s="17">
        <f t="shared" si="1"/>
        <v>41.088100000000004</v>
      </c>
      <c r="F49" s="17">
        <f t="shared" si="2"/>
        <v>7106.49</v>
      </c>
      <c r="H49" s="17">
        <f t="shared" si="3"/>
        <v>78.883571375424893</v>
      </c>
      <c r="J49" s="17">
        <f t="shared" si="4"/>
        <v>29.337699045116555</v>
      </c>
    </row>
    <row r="50" spans="1:10">
      <c r="A50" s="16"/>
      <c r="B50" s="17">
        <v>6.77</v>
      </c>
      <c r="C50" s="17">
        <v>81.7</v>
      </c>
      <c r="D50" s="17">
        <f t="shared" si="0"/>
        <v>553.10900000000004</v>
      </c>
      <c r="E50" s="17">
        <f t="shared" si="1"/>
        <v>45.832899999999995</v>
      </c>
      <c r="F50" s="17">
        <f t="shared" si="2"/>
        <v>6674.89</v>
      </c>
      <c r="H50" s="17">
        <f t="shared" si="3"/>
        <v>82.516599432580932</v>
      </c>
      <c r="J50" s="17">
        <f t="shared" si="4"/>
        <v>0.66683463329149584</v>
      </c>
    </row>
    <row r="51" spans="1:10">
      <c r="A51" s="16"/>
      <c r="B51" s="17">
        <v>6.65</v>
      </c>
      <c r="C51" s="17">
        <v>81</v>
      </c>
      <c r="D51" s="17">
        <f t="shared" si="0"/>
        <v>538.65</v>
      </c>
      <c r="E51" s="17">
        <f t="shared" si="1"/>
        <v>44.222500000000004</v>
      </c>
      <c r="F51" s="17">
        <f t="shared" si="2"/>
        <v>6561</v>
      </c>
      <c r="H51" s="17">
        <f t="shared" si="3"/>
        <v>81.305590080195586</v>
      </c>
      <c r="J51" s="17">
        <f t="shared" si="4"/>
        <v>9.338529711394454E-2</v>
      </c>
    </row>
    <row r="52" spans="1:10">
      <c r="A52" s="16"/>
      <c r="B52" s="17">
        <v>6.94</v>
      </c>
      <c r="C52" s="17">
        <v>80.3</v>
      </c>
      <c r="D52" s="17">
        <f t="shared" si="0"/>
        <v>557.28200000000004</v>
      </c>
      <c r="E52" s="17">
        <f t="shared" si="1"/>
        <v>48.163600000000002</v>
      </c>
      <c r="F52" s="17">
        <f t="shared" si="2"/>
        <v>6448.0899999999992</v>
      </c>
      <c r="H52" s="17">
        <f t="shared" si="3"/>
        <v>84.23219601512686</v>
      </c>
      <c r="J52" s="17">
        <f t="shared" si="4"/>
        <v>15.462165501379578</v>
      </c>
    </row>
    <row r="53" spans="1:10">
      <c r="A53" s="16"/>
      <c r="B53" s="17">
        <v>6.45</v>
      </c>
      <c r="C53" s="17">
        <v>80.2</v>
      </c>
      <c r="D53" s="17">
        <f t="shared" si="0"/>
        <v>517.29000000000008</v>
      </c>
      <c r="E53" s="17">
        <f t="shared" si="1"/>
        <v>41.602499999999999</v>
      </c>
      <c r="F53" s="17">
        <f t="shared" si="2"/>
        <v>6432.0400000000009</v>
      </c>
      <c r="H53" s="17">
        <f t="shared" si="3"/>
        <v>79.287241159553332</v>
      </c>
      <c r="J53" s="17">
        <f t="shared" si="4"/>
        <v>0.83312870081355084</v>
      </c>
    </row>
    <row r="54" spans="1:10">
      <c r="A54" s="16"/>
      <c r="B54" s="17">
        <v>7.04</v>
      </c>
      <c r="C54" s="17">
        <v>80.099999999999994</v>
      </c>
      <c r="D54" s="17">
        <f t="shared" si="0"/>
        <v>563.904</v>
      </c>
      <c r="E54" s="17">
        <f t="shared" si="1"/>
        <v>49.561599999999999</v>
      </c>
      <c r="F54" s="17">
        <f t="shared" si="2"/>
        <v>6416.0099999999993</v>
      </c>
      <c r="H54" s="17">
        <f t="shared" si="3"/>
        <v>85.24137047544798</v>
      </c>
      <c r="J54" s="17">
        <f t="shared" si="4"/>
        <v>26.433690365808243</v>
      </c>
    </row>
    <row r="55" spans="1:10">
      <c r="A55" s="16"/>
      <c r="B55" s="17">
        <v>6.39</v>
      </c>
      <c r="C55" s="17">
        <v>79.599999999999994</v>
      </c>
      <c r="D55" s="17">
        <f t="shared" si="0"/>
        <v>508.64399999999995</v>
      </c>
      <c r="E55" s="17">
        <f t="shared" si="1"/>
        <v>40.832099999999997</v>
      </c>
      <c r="F55" s="17">
        <f t="shared" si="2"/>
        <v>6336.1599999999989</v>
      </c>
      <c r="H55" s="17">
        <f t="shared" si="3"/>
        <v>78.681736483360652</v>
      </c>
      <c r="J55" s="17">
        <f t="shared" si="4"/>
        <v>0.84320788599085195</v>
      </c>
    </row>
    <row r="56" spans="1:10">
      <c r="A56" s="16"/>
      <c r="B56" s="17">
        <v>6.58</v>
      </c>
      <c r="C56" s="17">
        <v>77.099999999999994</v>
      </c>
      <c r="D56" s="17">
        <f t="shared" si="0"/>
        <v>507.31799999999998</v>
      </c>
      <c r="E56" s="17">
        <f t="shared" si="1"/>
        <v>43.296399999999998</v>
      </c>
      <c r="F56" s="17">
        <f t="shared" si="2"/>
        <v>5944.4099999999989</v>
      </c>
      <c r="H56" s="17">
        <f t="shared" si="3"/>
        <v>80.599167957970806</v>
      </c>
      <c r="J56" s="17">
        <f t="shared" si="4"/>
        <v>12.244176398089621</v>
      </c>
    </row>
    <row r="57" spans="1:10">
      <c r="A57" s="16"/>
      <c r="B57" s="17">
        <v>6.21</v>
      </c>
      <c r="C57" s="17">
        <v>76</v>
      </c>
      <c r="D57" s="17">
        <f t="shared" si="0"/>
        <v>471.96</v>
      </c>
      <c r="E57" s="17">
        <f t="shared" si="1"/>
        <v>38.564099999999996</v>
      </c>
      <c r="F57" s="17">
        <f t="shared" si="2"/>
        <v>5776</v>
      </c>
      <c r="H57" s="17">
        <f t="shared" si="3"/>
        <v>76.865222454782639</v>
      </c>
      <c r="J57" s="17">
        <f t="shared" si="4"/>
        <v>0.74860989626009622</v>
      </c>
    </row>
    <row r="58" spans="1:10">
      <c r="A58" s="16"/>
      <c r="B58" s="17">
        <v>7.17</v>
      </c>
      <c r="C58" s="17">
        <v>73.7</v>
      </c>
      <c r="D58" s="17">
        <f t="shared" si="0"/>
        <v>528.42899999999997</v>
      </c>
      <c r="E58" s="17">
        <f t="shared" si="1"/>
        <v>51.408899999999996</v>
      </c>
      <c r="F58" s="17">
        <f t="shared" si="2"/>
        <v>5431.6900000000005</v>
      </c>
      <c r="H58" s="17">
        <f t="shared" si="3"/>
        <v>86.553297273865439</v>
      </c>
      <c r="J58" s="17">
        <f t="shared" si="4"/>
        <v>165.20725081035667</v>
      </c>
    </row>
    <row r="59" spans="1:10">
      <c r="A59" s="16"/>
      <c r="B59" s="17">
        <v>6.34</v>
      </c>
      <c r="C59" s="17">
        <v>72.599999999999994</v>
      </c>
      <c r="D59" s="17">
        <f t="shared" si="0"/>
        <v>460.28399999999993</v>
      </c>
      <c r="E59" s="17">
        <f t="shared" si="1"/>
        <v>40.195599999999999</v>
      </c>
      <c r="F59" s="17">
        <f t="shared" si="2"/>
        <v>5270.7599999999993</v>
      </c>
      <c r="H59" s="17">
        <f t="shared" si="3"/>
        <v>78.177149253200099</v>
      </c>
      <c r="J59" s="17">
        <f t="shared" si="4"/>
        <v>31.104593792470485</v>
      </c>
    </row>
    <row r="60" spans="1:10">
      <c r="A60" s="16"/>
      <c r="B60" s="17">
        <v>6.18</v>
      </c>
      <c r="C60" s="17">
        <v>71.400000000000006</v>
      </c>
      <c r="D60" s="17">
        <f t="shared" si="0"/>
        <v>441.25200000000001</v>
      </c>
      <c r="E60" s="17">
        <f t="shared" si="1"/>
        <v>38.192399999999999</v>
      </c>
      <c r="F60" s="17">
        <f t="shared" si="2"/>
        <v>5097.9600000000009</v>
      </c>
      <c r="H60" s="17">
        <f t="shared" si="3"/>
        <v>76.562470116686285</v>
      </c>
      <c r="J60" s="17">
        <f t="shared" si="4"/>
        <v>26.651097705678843</v>
      </c>
    </row>
    <row r="61" spans="1:10">
      <c r="A61" s="16"/>
      <c r="B61" s="17">
        <v>5.12</v>
      </c>
      <c r="C61" s="17">
        <v>70</v>
      </c>
      <c r="D61" s="17">
        <f t="shared" si="0"/>
        <v>358.40000000000003</v>
      </c>
      <c r="E61" s="17">
        <f t="shared" si="1"/>
        <v>26.214400000000001</v>
      </c>
      <c r="F61" s="17">
        <f t="shared" si="2"/>
        <v>4900</v>
      </c>
      <c r="H61" s="17">
        <f t="shared" si="3"/>
        <v>65.865220837282379</v>
      </c>
      <c r="J61" s="17">
        <f t="shared" si="4"/>
        <v>17.09639872444383</v>
      </c>
    </row>
    <row r="62" spans="1:10">
      <c r="A62" s="16"/>
      <c r="B62" s="17">
        <v>5.71</v>
      </c>
      <c r="C62" s="17">
        <v>66.5</v>
      </c>
      <c r="D62" s="17">
        <f t="shared" si="0"/>
        <v>379.71499999999997</v>
      </c>
      <c r="E62" s="17">
        <f t="shared" si="1"/>
        <v>32.604100000000003</v>
      </c>
      <c r="F62" s="17">
        <f t="shared" si="2"/>
        <v>4422.25</v>
      </c>
      <c r="H62" s="17">
        <f t="shared" si="3"/>
        <v>71.819350153176998</v>
      </c>
      <c r="J62" s="17">
        <f t="shared" si="4"/>
        <v>28.295486052104156</v>
      </c>
    </row>
    <row r="63" spans="1:10">
      <c r="A63" s="24"/>
      <c r="B63" s="24">
        <f t="shared" ref="B63:F63" si="5">SUM(B31:B62)</f>
        <v>223.93</v>
      </c>
      <c r="C63" s="24">
        <f t="shared" si="5"/>
        <v>2714.1</v>
      </c>
      <c r="D63" s="24">
        <f t="shared" si="5"/>
        <v>19158.489000000001</v>
      </c>
      <c r="E63" s="24">
        <f t="shared" si="5"/>
        <v>1583.4421000000002</v>
      </c>
      <c r="F63" s="24">
        <f t="shared" si="5"/>
        <v>232687.61000000004</v>
      </c>
      <c r="J63" s="24">
        <f>SUM(J31:J62)</f>
        <v>817.05677528718707</v>
      </c>
    </row>
    <row r="64" spans="1:10">
      <c r="A64" s="25"/>
      <c r="B64" s="25"/>
      <c r="C64" s="25"/>
      <c r="D64" s="25"/>
      <c r="E64" s="25"/>
      <c r="F64" s="25"/>
    </row>
    <row r="65" spans="1:13">
      <c r="A65" s="25"/>
      <c r="B65" s="25"/>
      <c r="C65" s="25"/>
      <c r="D65" s="25"/>
      <c r="E65" s="25"/>
      <c r="F65" s="25"/>
    </row>
    <row r="66" spans="1:13">
      <c r="A66" s="25"/>
      <c r="B66" s="25"/>
      <c r="C66" s="25"/>
      <c r="D66" s="25"/>
      <c r="E66" s="25"/>
      <c r="F66" s="25"/>
    </row>
    <row r="67" spans="1:13">
      <c r="A67" s="25"/>
      <c r="B67" s="25"/>
      <c r="C67" s="25"/>
      <c r="D67" s="25"/>
      <c r="E67" s="25"/>
      <c r="F67" s="25"/>
    </row>
    <row r="68" spans="1:13" ht="137.25" customHeight="1">
      <c r="A68" s="18"/>
      <c r="B68" s="19"/>
      <c r="C68" s="19"/>
      <c r="D68" s="19"/>
      <c r="E68" s="19"/>
      <c r="F68" s="19"/>
    </row>
    <row r="69" spans="1:13">
      <c r="A69" s="18"/>
      <c r="B69" s="19"/>
      <c r="C69" s="19"/>
      <c r="D69" s="19"/>
      <c r="E69" s="19"/>
      <c r="F69" s="19"/>
    </row>
    <row r="70" spans="1:13">
      <c r="A70" s="18"/>
      <c r="B70" s="19"/>
      <c r="C70" s="19"/>
      <c r="D70" s="19"/>
      <c r="E70" s="19"/>
      <c r="F70" s="19"/>
      <c r="M70">
        <f>J63+F83*J80</f>
        <v>2489.5221875000643</v>
      </c>
    </row>
    <row r="71" spans="1:13">
      <c r="A71" s="1" t="s">
        <v>1</v>
      </c>
      <c r="B71" s="2">
        <v>32</v>
      </c>
    </row>
    <row r="72" spans="1:13" ht="18">
      <c r="A72" s="1" t="s">
        <v>2</v>
      </c>
      <c r="B72" s="4">
        <f>SUM(C31:C62)</f>
        <v>2714.1</v>
      </c>
      <c r="M72">
        <f>1-(J63/M70)</f>
        <v>0.67180177007875486</v>
      </c>
    </row>
    <row r="73" spans="1:13" ht="18">
      <c r="A73" s="1" t="s">
        <v>3</v>
      </c>
      <c r="B73" s="4">
        <f>SUM(F31:F62)</f>
        <v>232687.61000000004</v>
      </c>
    </row>
    <row r="74" spans="1:13" ht="18">
      <c r="A74" s="1" t="s">
        <v>4</v>
      </c>
      <c r="B74" s="4">
        <f>SUM(B31:B62)</f>
        <v>223.93</v>
      </c>
    </row>
    <row r="75" spans="1:13" ht="18">
      <c r="A75" s="1" t="s">
        <v>5</v>
      </c>
      <c r="B75" s="4">
        <f>SUM(E31:E62)</f>
        <v>1583.4421000000002</v>
      </c>
    </row>
    <row r="76" spans="1:13" ht="18">
      <c r="A76" s="1" t="s">
        <v>13</v>
      </c>
      <c r="B76" s="4">
        <f>SUM(D31:D62)</f>
        <v>19158.489000000001</v>
      </c>
      <c r="G76" s="5"/>
    </row>
    <row r="77" spans="1:13">
      <c r="A77" s="11" t="s">
        <v>6</v>
      </c>
    </row>
    <row r="78" spans="1:13" ht="18">
      <c r="A78" s="67" t="s">
        <v>7</v>
      </c>
      <c r="B78" s="68" t="s">
        <v>10</v>
      </c>
      <c r="C78" s="6" t="s">
        <v>8</v>
      </c>
      <c r="D78" s="69" t="s">
        <v>36</v>
      </c>
      <c r="E78" s="69"/>
      <c r="F78" s="69"/>
      <c r="G78" s="69"/>
      <c r="H78" s="69"/>
      <c r="I78" s="69"/>
      <c r="J78" s="69">
        <f>B75-(B74^2)/B71</f>
        <v>16.421946875000003</v>
      </c>
    </row>
    <row r="79" spans="1:13">
      <c r="A79" s="67"/>
      <c r="B79" s="68"/>
      <c r="C79" s="4" t="s">
        <v>9</v>
      </c>
      <c r="D79" s="69"/>
      <c r="E79" s="69"/>
      <c r="F79" s="69"/>
      <c r="G79" s="69"/>
      <c r="H79" s="69"/>
      <c r="I79" s="69"/>
      <c r="J79" s="69"/>
    </row>
    <row r="80" spans="1:13" ht="18">
      <c r="A80" s="67" t="s">
        <v>12</v>
      </c>
      <c r="B80" s="68" t="s">
        <v>15</v>
      </c>
      <c r="C80" s="7" t="s">
        <v>14</v>
      </c>
      <c r="D80" s="69" t="s">
        <v>68</v>
      </c>
      <c r="E80" s="69"/>
      <c r="F80" s="69"/>
      <c r="G80" s="69"/>
      <c r="H80" s="69"/>
      <c r="I80" s="69"/>
      <c r="J80" s="69">
        <f>B76-B74*B72/B71</f>
        <v>165.7260937500032</v>
      </c>
    </row>
    <row r="81" spans="1:10">
      <c r="A81" s="67"/>
      <c r="B81" s="68"/>
      <c r="C81" s="4" t="s">
        <v>9</v>
      </c>
      <c r="D81" s="69"/>
      <c r="E81" s="69"/>
      <c r="F81" s="69"/>
      <c r="G81" s="69"/>
      <c r="H81" s="69"/>
      <c r="I81" s="69"/>
      <c r="J81" s="69"/>
    </row>
    <row r="83" spans="1:10" ht="18.75">
      <c r="A83" s="1" t="s">
        <v>21</v>
      </c>
      <c r="B83" s="4" t="s">
        <v>17</v>
      </c>
      <c r="C83" t="s">
        <v>69</v>
      </c>
      <c r="F83" s="27">
        <f>J80/J78</f>
        <v>10.091744603211254</v>
      </c>
    </row>
    <row r="84" spans="1:10">
      <c r="A84" s="1" t="s">
        <v>19</v>
      </c>
    </row>
    <row r="85" spans="1:10" ht="18.75">
      <c r="A85" s="1" t="s">
        <v>20</v>
      </c>
      <c r="B85" s="8" t="s">
        <v>22</v>
      </c>
      <c r="C85" t="s">
        <v>72</v>
      </c>
      <c r="H85" s="27">
        <f>B72/B71-F83*(B74/B71)</f>
        <v>14.19548846884075</v>
      </c>
    </row>
    <row r="87" spans="1:10" ht="15.75">
      <c r="A87" s="9" t="s">
        <v>24</v>
      </c>
      <c r="B87" t="s">
        <v>70</v>
      </c>
    </row>
    <row r="88" spans="1:10" ht="18.75">
      <c r="A88" s="1" t="s">
        <v>54</v>
      </c>
      <c r="B88" t="s">
        <v>71</v>
      </c>
      <c r="C88" s="27" t="s">
        <v>75</v>
      </c>
      <c r="E88">
        <f>817.0568/30</f>
        <v>27.235226666666666</v>
      </c>
    </row>
    <row r="89" spans="1:10" ht="15.75">
      <c r="A89" s="9"/>
    </row>
    <row r="90" spans="1:10">
      <c r="A90" s="11" t="s">
        <v>26</v>
      </c>
    </row>
    <row r="91" spans="1:10">
      <c r="A91" s="1" t="s">
        <v>37</v>
      </c>
      <c r="B91" s="2">
        <v>7.5</v>
      </c>
    </row>
    <row r="92" spans="1:10" ht="15.75">
      <c r="A92" s="9" t="s">
        <v>24</v>
      </c>
      <c r="B92" t="s">
        <v>73</v>
      </c>
      <c r="E92">
        <f>H85+F83*B91</f>
        <v>89.883572992925153</v>
      </c>
    </row>
    <row r="93" spans="1:10">
      <c r="A93" s="11" t="s">
        <v>30</v>
      </c>
    </row>
    <row r="94" spans="1:10">
      <c r="A94" s="12" t="s">
        <v>76</v>
      </c>
      <c r="B94" s="12"/>
      <c r="C94" s="12"/>
      <c r="D94" s="12"/>
      <c r="E94" s="12"/>
      <c r="F94" s="12"/>
      <c r="G94" s="12"/>
      <c r="H94" s="12"/>
      <c r="I94" s="12"/>
      <c r="J94" s="12"/>
    </row>
    <row r="95" spans="1:10">
      <c r="A95" s="11" t="s">
        <v>33</v>
      </c>
    </row>
    <row r="96" spans="1:10">
      <c r="A96" s="70" t="s">
        <v>74</v>
      </c>
      <c r="B96" s="70"/>
      <c r="C96">
        <f>10/10.0917</f>
        <v>0.99091332481147876</v>
      </c>
    </row>
    <row r="97" spans="1:8">
      <c r="A97" s="12" t="s">
        <v>38</v>
      </c>
      <c r="B97" s="12"/>
      <c r="C97" s="12"/>
      <c r="D97" s="12"/>
      <c r="E97" s="12"/>
      <c r="F97" s="12"/>
      <c r="G97" s="12"/>
      <c r="H97" s="12"/>
    </row>
    <row r="98" spans="1:8">
      <c r="A98" s="11" t="s">
        <v>39</v>
      </c>
    </row>
    <row r="99" spans="1:8" ht="15.75">
      <c r="A99" s="9" t="s">
        <v>24</v>
      </c>
      <c r="B99" t="s">
        <v>77</v>
      </c>
      <c r="E99">
        <f>H85+F83*7.21</f>
        <v>86.956967057993893</v>
      </c>
    </row>
    <row r="100" spans="1:8" ht="18">
      <c r="B100" s="4" t="s">
        <v>78</v>
      </c>
      <c r="C100" s="4" t="s">
        <v>79</v>
      </c>
      <c r="D100" s="2" t="s">
        <v>81</v>
      </c>
      <c r="H100">
        <f>(90.2-E99)</f>
        <v>3.2430329420061099</v>
      </c>
    </row>
    <row r="101" spans="1:8" ht="18">
      <c r="B101" s="4" t="s">
        <v>78</v>
      </c>
      <c r="C101" s="4" t="s">
        <v>79</v>
      </c>
      <c r="D101" s="2" t="s">
        <v>80</v>
      </c>
      <c r="H101">
        <f>(95-E99)</f>
        <v>8.0430329420061071</v>
      </c>
    </row>
    <row r="102" spans="1:8">
      <c r="A102" s="2" t="s">
        <v>48</v>
      </c>
    </row>
    <row r="103" spans="1:8" ht="28.5" customHeight="1">
      <c r="A103" s="21" t="s">
        <v>50</v>
      </c>
      <c r="B103" s="20" t="s">
        <v>49</v>
      </c>
      <c r="C103" s="14" t="s">
        <v>45</v>
      </c>
      <c r="D103" s="14" t="s">
        <v>46</v>
      </c>
      <c r="E103" s="15" t="s">
        <v>47</v>
      </c>
      <c r="F103" s="15" t="s">
        <v>60</v>
      </c>
      <c r="H103" s="15" t="s">
        <v>52</v>
      </c>
    </row>
    <row r="104" spans="1:8">
      <c r="A104" s="17">
        <v>4.9176000000000002</v>
      </c>
      <c r="B104" s="16">
        <v>25.9</v>
      </c>
      <c r="C104" s="17">
        <f>B104*A104</f>
        <v>127.36583999999999</v>
      </c>
      <c r="D104" s="17">
        <f>A104^2</f>
        <v>24.182789760000002</v>
      </c>
      <c r="E104" s="17">
        <f>B104^2</f>
        <v>670.81</v>
      </c>
      <c r="F104" s="17">
        <f>$H$143+$F$141*A104</f>
        <v>29.668107258645609</v>
      </c>
      <c r="H104" s="17">
        <f>(B104-F104)^2</f>
        <v>14.198632312657736</v>
      </c>
    </row>
    <row r="105" spans="1:8">
      <c r="A105" s="17">
        <v>5.0208000000000004</v>
      </c>
      <c r="B105" s="16">
        <v>29.5</v>
      </c>
      <c r="C105" s="17">
        <f t="shared" ref="C105:C127" si="6">B105*A105</f>
        <v>148.11360000000002</v>
      </c>
      <c r="D105" s="17">
        <f t="shared" ref="D105:D127" si="7">A105^2</f>
        <v>25.208432640000005</v>
      </c>
      <c r="E105" s="17">
        <f>B105^2</f>
        <v>870.25</v>
      </c>
      <c r="F105" s="17">
        <f t="shared" ref="F105:F127" si="8">$H$143+$F$141*A105</f>
        <v>30.011182369913847</v>
      </c>
      <c r="H105" s="17">
        <f t="shared" ref="H105:H127" si="9">(B105-F105)^2</f>
        <v>0.26130741531073703</v>
      </c>
    </row>
    <row r="106" spans="1:8">
      <c r="A106" s="17">
        <v>4.5429000000000004</v>
      </c>
      <c r="B106" s="16">
        <v>27.9</v>
      </c>
      <c r="C106" s="17">
        <f t="shared" si="6"/>
        <v>126.74691</v>
      </c>
      <c r="D106" s="17">
        <f t="shared" si="7"/>
        <v>20.637940410000002</v>
      </c>
      <c r="E106" s="17">
        <f t="shared" ref="E106:E127" si="10">B106^2</f>
        <v>778.41</v>
      </c>
      <c r="F106" s="17">
        <f t="shared" si="8"/>
        <v>28.422465357558316</v>
      </c>
      <c r="H106" s="17">
        <f t="shared" si="9"/>
        <v>0.27297004984854062</v>
      </c>
    </row>
    <row r="107" spans="1:8">
      <c r="A107" s="17">
        <v>4.5572999999999997</v>
      </c>
      <c r="B107" s="16">
        <v>25.9</v>
      </c>
      <c r="C107" s="17">
        <f t="shared" si="6"/>
        <v>118.03406999999999</v>
      </c>
      <c r="D107" s="17">
        <f t="shared" si="7"/>
        <v>20.768983289999998</v>
      </c>
      <c r="E107" s="17">
        <f t="shared" si="10"/>
        <v>670.81</v>
      </c>
      <c r="F107" s="17">
        <f t="shared" si="8"/>
        <v>28.470336303316671</v>
      </c>
      <c r="H107" s="17">
        <f t="shared" si="9"/>
        <v>6.606628712147617</v>
      </c>
    </row>
    <row r="108" spans="1:8">
      <c r="A108" s="17">
        <v>5.0597000000000003</v>
      </c>
      <c r="B108" s="16">
        <v>29.9</v>
      </c>
      <c r="C108" s="17">
        <f t="shared" si="6"/>
        <v>151.28503000000001</v>
      </c>
      <c r="D108" s="17">
        <f t="shared" si="7"/>
        <v>25.600564090000002</v>
      </c>
      <c r="E108" s="17">
        <f t="shared" si="10"/>
        <v>894.00999999999988</v>
      </c>
      <c r="F108" s="17">
        <f t="shared" si="8"/>
        <v>30.14050041088608</v>
      </c>
      <c r="H108" s="17">
        <f t="shared" si="9"/>
        <v>5.7840447636374047E-2</v>
      </c>
    </row>
    <row r="109" spans="1:8">
      <c r="A109" s="17">
        <v>3.891</v>
      </c>
      <c r="B109" s="16">
        <v>29.9</v>
      </c>
      <c r="C109" s="17">
        <f t="shared" si="6"/>
        <v>116.34089999999999</v>
      </c>
      <c r="D109" s="17">
        <f t="shared" si="7"/>
        <v>15.139881000000001</v>
      </c>
      <c r="E109" s="17">
        <f t="shared" si="10"/>
        <v>894.00999999999988</v>
      </c>
      <c r="F109" s="17">
        <f t="shared" si="8"/>
        <v>26.255307750622606</v>
      </c>
      <c r="H109" s="17">
        <f t="shared" si="9"/>
        <v>13.283781592671637</v>
      </c>
    </row>
    <row r="110" spans="1:8">
      <c r="A110" s="17">
        <v>5.8979999999999997</v>
      </c>
      <c r="B110" s="16">
        <v>30.9</v>
      </c>
      <c r="C110" s="17">
        <f t="shared" si="6"/>
        <v>182.24819999999997</v>
      </c>
      <c r="D110" s="17">
        <f t="shared" si="7"/>
        <v>34.786403999999997</v>
      </c>
      <c r="E110" s="17">
        <f t="shared" si="10"/>
        <v>954.81</v>
      </c>
      <c r="F110" s="17">
        <f t="shared" si="8"/>
        <v>32.927320815693875</v>
      </c>
      <c r="H110" s="17">
        <f t="shared" si="9"/>
        <v>4.1100296897456845</v>
      </c>
    </row>
    <row r="111" spans="1:8">
      <c r="A111" s="17">
        <v>5.6039000000000003</v>
      </c>
      <c r="B111" s="16">
        <v>28.9</v>
      </c>
      <c r="C111" s="17">
        <f t="shared" si="6"/>
        <v>161.95271</v>
      </c>
      <c r="D111" s="17">
        <f t="shared" si="7"/>
        <v>31.403695210000002</v>
      </c>
      <c r="E111" s="17">
        <f t="shared" si="10"/>
        <v>835.20999999999992</v>
      </c>
      <c r="F111" s="17">
        <f t="shared" si="8"/>
        <v>31.949623236004062</v>
      </c>
      <c r="H111" s="17">
        <f t="shared" si="9"/>
        <v>9.3002018815758927</v>
      </c>
    </row>
    <row r="112" spans="1:8">
      <c r="A112" s="17">
        <v>5.8281999999999998</v>
      </c>
      <c r="B112" s="16">
        <v>35.9</v>
      </c>
      <c r="C112" s="17">
        <f t="shared" si="6"/>
        <v>209.23237999999998</v>
      </c>
      <c r="D112" s="17">
        <f t="shared" si="7"/>
        <v>33.967915239999996</v>
      </c>
      <c r="E112" s="17">
        <f t="shared" si="10"/>
        <v>1288.81</v>
      </c>
      <c r="F112" s="17">
        <f t="shared" si="8"/>
        <v>32.695279703615164</v>
      </c>
      <c r="H112" s="17">
        <f t="shared" si="9"/>
        <v>10.270232178060905</v>
      </c>
    </row>
    <row r="113" spans="1:8">
      <c r="A113" s="17">
        <v>5.3003</v>
      </c>
      <c r="B113" s="16">
        <v>31.5</v>
      </c>
      <c r="C113" s="17">
        <f t="shared" si="6"/>
        <v>166.95945</v>
      </c>
      <c r="D113" s="17">
        <f t="shared" si="7"/>
        <v>28.093180090000001</v>
      </c>
      <c r="E113" s="17">
        <f t="shared" si="10"/>
        <v>992.25</v>
      </c>
      <c r="F113" s="17">
        <f t="shared" si="8"/>
        <v>30.94034412959866</v>
      </c>
      <c r="H113" s="17">
        <f t="shared" si="9"/>
        <v>0.3132146932746811</v>
      </c>
    </row>
    <row r="114" spans="1:8">
      <c r="A114" s="17">
        <v>6.2712000000000003</v>
      </c>
      <c r="B114" s="16">
        <v>31</v>
      </c>
      <c r="C114" s="17">
        <f t="shared" si="6"/>
        <v>194.40720000000002</v>
      </c>
      <c r="D114" s="17">
        <f t="shared" si="7"/>
        <v>39.327949440000005</v>
      </c>
      <c r="E114" s="17">
        <f t="shared" si="10"/>
        <v>961</v>
      </c>
      <c r="F114" s="17">
        <f t="shared" si="8"/>
        <v>34.167976159931342</v>
      </c>
      <c r="H114" s="17">
        <f t="shared" si="9"/>
        <v>10.036072949893335</v>
      </c>
    </row>
    <row r="115" spans="1:8">
      <c r="A115" s="17">
        <v>5.9592000000000001</v>
      </c>
      <c r="B115" s="16">
        <v>30.9</v>
      </c>
      <c r="C115" s="17">
        <f t="shared" si="6"/>
        <v>184.13927999999999</v>
      </c>
      <c r="D115" s="17">
        <f t="shared" si="7"/>
        <v>35.512064639999998</v>
      </c>
      <c r="E115" s="17">
        <f t="shared" si="10"/>
        <v>954.81</v>
      </c>
      <c r="F115" s="17">
        <f t="shared" si="8"/>
        <v>33.130772335166895</v>
      </c>
      <c r="H115" s="17">
        <f t="shared" si="9"/>
        <v>4.9763452113459703</v>
      </c>
    </row>
    <row r="116" spans="1:8">
      <c r="A116" s="17">
        <v>5.05</v>
      </c>
      <c r="B116" s="16">
        <v>30</v>
      </c>
      <c r="C116" s="17">
        <f t="shared" si="6"/>
        <v>151.5</v>
      </c>
      <c r="D116" s="17">
        <f t="shared" si="7"/>
        <v>25.502499999999998</v>
      </c>
      <c r="E116" s="17">
        <f t="shared" si="10"/>
        <v>900</v>
      </c>
      <c r="F116" s="17">
        <f t="shared" si="8"/>
        <v>30.108254009923851</v>
      </c>
      <c r="H116" s="17">
        <f t="shared" si="9"/>
        <v>1.1718930664593166E-2</v>
      </c>
    </row>
    <row r="117" spans="1:8">
      <c r="A117" s="17">
        <v>8.2463999999999995</v>
      </c>
      <c r="B117" s="16">
        <v>36.9</v>
      </c>
      <c r="C117" s="17">
        <f t="shared" si="6"/>
        <v>304.29215999999997</v>
      </c>
      <c r="D117" s="17">
        <f t="shared" si="7"/>
        <v>68.003112959999996</v>
      </c>
      <c r="E117" s="17">
        <f t="shared" si="10"/>
        <v>1361.61</v>
      </c>
      <c r="F117" s="17">
        <f t="shared" si="8"/>
        <v>40.734274219786229</v>
      </c>
      <c r="H117" s="17">
        <f t="shared" si="9"/>
        <v>14.701658792517309</v>
      </c>
    </row>
    <row r="118" spans="1:8">
      <c r="A118" s="17">
        <v>6.6969000000000003</v>
      </c>
      <c r="B118" s="16">
        <v>41.9</v>
      </c>
      <c r="C118" s="17">
        <f t="shared" si="6"/>
        <v>280.60011000000003</v>
      </c>
      <c r="D118" s="17">
        <f t="shared" si="7"/>
        <v>44.848469610000002</v>
      </c>
      <c r="E118" s="17">
        <f t="shared" si="10"/>
        <v>1755.61</v>
      </c>
      <c r="F118" s="17">
        <f t="shared" si="8"/>
        <v>35.583160993912827</v>
      </c>
      <c r="H118" s="17">
        <f t="shared" si="9"/>
        <v>39.902455028824363</v>
      </c>
    </row>
    <row r="119" spans="1:8">
      <c r="A119" s="17">
        <v>7.7840999999999996</v>
      </c>
      <c r="B119" s="16">
        <v>40.5</v>
      </c>
      <c r="C119" s="17">
        <f t="shared" si="6"/>
        <v>315.25604999999996</v>
      </c>
      <c r="D119" s="17">
        <f t="shared" si="7"/>
        <v>60.592212809999992</v>
      </c>
      <c r="E119" s="17">
        <f t="shared" si="10"/>
        <v>1640.25</v>
      </c>
      <c r="F119" s="17">
        <f t="shared" si="8"/>
        <v>39.197417398668918</v>
      </c>
      <c r="H119" s="17">
        <f t="shared" si="9"/>
        <v>1.6967214332904483</v>
      </c>
    </row>
    <row r="120" spans="1:8">
      <c r="A120" s="17">
        <v>9.0383999999999993</v>
      </c>
      <c r="B120" s="16">
        <v>43.9</v>
      </c>
      <c r="C120" s="17">
        <f t="shared" si="6"/>
        <v>396.78575999999998</v>
      </c>
      <c r="D120" s="17">
        <f t="shared" si="7"/>
        <v>81.692674559999986</v>
      </c>
      <c r="E120" s="17">
        <f t="shared" si="10"/>
        <v>1927.2099999999998</v>
      </c>
      <c r="F120" s="17">
        <f t="shared" si="8"/>
        <v>43.367176236495965</v>
      </c>
      <c r="H120" s="17">
        <f t="shared" si="9"/>
        <v>0.28390116295460255</v>
      </c>
    </row>
    <row r="121" spans="1:8">
      <c r="A121" s="17">
        <v>5.9893999999999998</v>
      </c>
      <c r="B121" s="16">
        <v>37.5</v>
      </c>
      <c r="C121" s="17">
        <f t="shared" si="6"/>
        <v>224.60249999999999</v>
      </c>
      <c r="D121" s="17">
        <f t="shared" si="7"/>
        <v>35.872912360000001</v>
      </c>
      <c r="E121" s="17">
        <f t="shared" si="10"/>
        <v>1406.25</v>
      </c>
      <c r="F121" s="17">
        <f t="shared" si="8"/>
        <v>33.231168346410129</v>
      </c>
      <c r="H121" s="17">
        <f t="shared" si="9"/>
        <v>18.22292368669083</v>
      </c>
    </row>
    <row r="122" spans="1:8">
      <c r="A122" s="17">
        <v>7.5422000000000002</v>
      </c>
      <c r="B122" s="16">
        <v>37.9</v>
      </c>
      <c r="C122" s="17">
        <f t="shared" si="6"/>
        <v>285.84938</v>
      </c>
      <c r="D122" s="17">
        <f t="shared" si="7"/>
        <v>56.884780840000005</v>
      </c>
      <c r="E122" s="17">
        <f t="shared" si="10"/>
        <v>1436.4099999999999</v>
      </c>
      <c r="F122" s="17">
        <f t="shared" si="8"/>
        <v>38.393251997353161</v>
      </c>
      <c r="H122" s="17">
        <f t="shared" si="9"/>
        <v>0.24329753289288433</v>
      </c>
    </row>
    <row r="123" spans="1:8">
      <c r="A123" s="17">
        <v>8.7950999999999997</v>
      </c>
      <c r="B123" s="16">
        <v>44.5</v>
      </c>
      <c r="C123" s="17">
        <f t="shared" si="6"/>
        <v>391.38194999999996</v>
      </c>
      <c r="D123" s="17">
        <f t="shared" si="7"/>
        <v>77.353784009999998</v>
      </c>
      <c r="E123" s="17">
        <f t="shared" si="10"/>
        <v>1980.25</v>
      </c>
      <c r="F123" s="17">
        <f t="shared" si="8"/>
        <v>42.558356715453698</v>
      </c>
      <c r="H123" s="17">
        <f t="shared" si="9"/>
        <v>3.7699786444237522</v>
      </c>
    </row>
    <row r="124" spans="1:8">
      <c r="A124" s="17">
        <v>6.0831</v>
      </c>
      <c r="B124" s="16">
        <v>37.9</v>
      </c>
      <c r="C124" s="17">
        <f t="shared" si="6"/>
        <v>230.54948999999999</v>
      </c>
      <c r="D124" s="17">
        <f t="shared" si="7"/>
        <v>37.004105609999996</v>
      </c>
      <c r="E124" s="17">
        <f t="shared" si="10"/>
        <v>1436.4099999999999</v>
      </c>
      <c r="F124" s="17">
        <f t="shared" si="8"/>
        <v>33.54266193096278</v>
      </c>
      <c r="H124" s="17">
        <f t="shared" si="9"/>
        <v>18.986395047881</v>
      </c>
    </row>
    <row r="125" spans="1:8">
      <c r="A125" s="17">
        <v>8.3606999999999996</v>
      </c>
      <c r="B125" s="16">
        <v>38.9</v>
      </c>
      <c r="C125" s="17">
        <f t="shared" si="6"/>
        <v>325.23122999999998</v>
      </c>
      <c r="D125" s="17">
        <f t="shared" si="7"/>
        <v>69.901304489999987</v>
      </c>
      <c r="E125" s="17">
        <f t="shared" si="10"/>
        <v>1513.2099999999998</v>
      </c>
      <c r="F125" s="17">
        <f t="shared" si="8"/>
        <v>41.11424985174321</v>
      </c>
      <c r="H125" s="17">
        <f t="shared" si="9"/>
        <v>4.9029024059448352</v>
      </c>
    </row>
    <row r="126" spans="1:8">
      <c r="A126" s="17">
        <v>8.14</v>
      </c>
      <c r="B126" s="16">
        <v>36.9</v>
      </c>
      <c r="C126" s="17">
        <f t="shared" si="6"/>
        <v>300.36599999999999</v>
      </c>
      <c r="D126" s="17">
        <f t="shared" si="7"/>
        <v>66.259600000000006</v>
      </c>
      <c r="E126" s="17">
        <f t="shared" si="10"/>
        <v>1361.61</v>
      </c>
      <c r="F126" s="17">
        <f t="shared" si="8"/>
        <v>40.380561120571699</v>
      </c>
      <c r="H126" s="17">
        <f t="shared" si="9"/>
        <v>12.114305714035329</v>
      </c>
    </row>
    <row r="127" spans="1:8">
      <c r="A127" s="17">
        <v>9.1416000000000004</v>
      </c>
      <c r="B127" s="16">
        <v>45.8</v>
      </c>
      <c r="C127" s="17">
        <f t="shared" si="6"/>
        <v>418.68527999999998</v>
      </c>
      <c r="D127" s="17">
        <f t="shared" si="7"/>
        <v>83.568850560000001</v>
      </c>
      <c r="E127" s="17">
        <f t="shared" si="10"/>
        <v>2097.64</v>
      </c>
      <c r="F127" s="17">
        <f t="shared" si="8"/>
        <v>43.710251347764213</v>
      </c>
      <c r="H127" s="17">
        <f t="shared" si="9"/>
        <v>4.3670494295212743</v>
      </c>
    </row>
    <row r="128" spans="1:8">
      <c r="A128" s="22">
        <f>SUM(A104:A127)</f>
        <v>153.71799999999999</v>
      </c>
      <c r="B128" s="22">
        <f>SUM(B104:B127)</f>
        <v>830.69999999999982</v>
      </c>
      <c r="C128" s="22">
        <f>SUM(C104:C127)</f>
        <v>5511.9254799999999</v>
      </c>
      <c r="D128" s="22">
        <f t="shared" ref="D128:E128" si="11">SUM(D104:D127)</f>
        <v>1042.1141076200001</v>
      </c>
      <c r="E128" s="22">
        <f t="shared" si="11"/>
        <v>29581.649999999998</v>
      </c>
      <c r="H128" s="22">
        <f>SUM(H104:H127)</f>
        <v>192.89056494381032</v>
      </c>
    </row>
    <row r="129" spans="1:10">
      <c r="A129" s="1" t="s">
        <v>1</v>
      </c>
      <c r="B129" s="2">
        <v>24</v>
      </c>
    </row>
    <row r="130" spans="1:10" ht="18">
      <c r="A130" s="1" t="s">
        <v>2</v>
      </c>
      <c r="B130" s="4">
        <f>SUM(B104:B127)</f>
        <v>830.69999999999982</v>
      </c>
    </row>
    <row r="131" spans="1:10" ht="18">
      <c r="A131" s="1" t="s">
        <v>3</v>
      </c>
      <c r="B131" s="4">
        <f>SUM(E104:E127)</f>
        <v>29581.649999999998</v>
      </c>
    </row>
    <row r="132" spans="1:10" ht="18">
      <c r="A132" s="1" t="s">
        <v>4</v>
      </c>
      <c r="B132" s="4">
        <f>SUM(A104:A127)</f>
        <v>153.71799999999999</v>
      </c>
    </row>
    <row r="133" spans="1:10" ht="18">
      <c r="A133" s="1" t="s">
        <v>5</v>
      </c>
      <c r="B133" s="4">
        <f>SUM(D104:D127)</f>
        <v>1042.1141076200001</v>
      </c>
    </row>
    <row r="134" spans="1:10" ht="18">
      <c r="A134" s="1" t="s">
        <v>13</v>
      </c>
      <c r="B134" s="4">
        <f>SUM(C104:C127)</f>
        <v>5511.9254799999999</v>
      </c>
      <c r="G134" s="5"/>
    </row>
    <row r="136" spans="1:10" ht="18">
      <c r="A136" s="67" t="s">
        <v>7</v>
      </c>
      <c r="B136" s="68" t="s">
        <v>10</v>
      </c>
      <c r="C136" s="6" t="s">
        <v>8</v>
      </c>
      <c r="D136" s="69" t="s">
        <v>55</v>
      </c>
      <c r="E136" s="69"/>
      <c r="F136" s="69"/>
      <c r="G136" s="69"/>
      <c r="H136" s="69"/>
      <c r="I136" s="69"/>
      <c r="J136" s="69">
        <f>B133-(B132^2)/B129</f>
        <v>57.56312745333355</v>
      </c>
    </row>
    <row r="137" spans="1:10">
      <c r="A137" s="67"/>
      <c r="B137" s="68"/>
      <c r="C137" s="4" t="s">
        <v>9</v>
      </c>
      <c r="D137" s="69"/>
      <c r="E137" s="69"/>
      <c r="F137" s="69"/>
      <c r="G137" s="69"/>
      <c r="H137" s="69"/>
      <c r="I137" s="69"/>
      <c r="J137" s="69"/>
    </row>
    <row r="138" spans="1:10" ht="18">
      <c r="A138" s="67" t="s">
        <v>12</v>
      </c>
      <c r="B138" s="68" t="s">
        <v>15</v>
      </c>
      <c r="C138" s="7" t="s">
        <v>14</v>
      </c>
      <c r="D138" s="69" t="s">
        <v>56</v>
      </c>
      <c r="E138" s="69"/>
      <c r="F138" s="69"/>
      <c r="G138" s="69"/>
      <c r="H138" s="69"/>
      <c r="I138" s="69"/>
      <c r="J138" s="69">
        <f>B134-B132*B130/B129</f>
        <v>191.36120500000197</v>
      </c>
    </row>
    <row r="139" spans="1:10">
      <c r="A139" s="67"/>
      <c r="B139" s="68"/>
      <c r="C139" s="4" t="s">
        <v>9</v>
      </c>
      <c r="D139" s="69"/>
      <c r="E139" s="69"/>
      <c r="F139" s="69"/>
      <c r="G139" s="69"/>
      <c r="H139" s="69"/>
      <c r="I139" s="69"/>
      <c r="J139" s="69"/>
    </row>
    <row r="141" spans="1:10" ht="18.75">
      <c r="A141" s="1" t="s">
        <v>21</v>
      </c>
      <c r="B141" s="4" t="s">
        <v>17</v>
      </c>
      <c r="C141" t="s">
        <v>57</v>
      </c>
      <c r="F141">
        <f>J138/J136</f>
        <v>3.3243712332193658</v>
      </c>
    </row>
    <row r="142" spans="1:10">
      <c r="A142" s="1" t="s">
        <v>19</v>
      </c>
    </row>
    <row r="143" spans="1:10" ht="18.75">
      <c r="A143" s="1" t="s">
        <v>20</v>
      </c>
      <c r="B143" s="8" t="s">
        <v>22</v>
      </c>
      <c r="C143" t="s">
        <v>58</v>
      </c>
      <c r="H143">
        <f>B130/B129-F141*(B132/B129)</f>
        <v>13.320179282166055</v>
      </c>
    </row>
    <row r="145" spans="1:8" ht="15.75">
      <c r="A145" s="9" t="s">
        <v>24</v>
      </c>
      <c r="B145" t="s">
        <v>59</v>
      </c>
    </row>
    <row r="146" spans="1:8">
      <c r="A146" s="11" t="s">
        <v>6</v>
      </c>
    </row>
    <row r="147" spans="1:8" ht="18">
      <c r="A147" s="1" t="s">
        <v>40</v>
      </c>
      <c r="B147" s="4" t="s">
        <v>41</v>
      </c>
      <c r="C147" s="4" t="s">
        <v>51</v>
      </c>
      <c r="D147">
        <f>H128</f>
        <v>192.89056494381032</v>
      </c>
    </row>
    <row r="148" spans="1:8" ht="18.75">
      <c r="A148" s="1" t="s">
        <v>54</v>
      </c>
      <c r="B148" s="1" t="s">
        <v>53</v>
      </c>
      <c r="C148" t="s">
        <v>61</v>
      </c>
      <c r="E148">
        <f>D147/(B129-2)</f>
        <v>8.7677529519913779</v>
      </c>
    </row>
    <row r="149" spans="1:8">
      <c r="A149" s="11" t="s">
        <v>26</v>
      </c>
    </row>
    <row r="150" spans="1:8" ht="15.75">
      <c r="A150" s="9" t="s">
        <v>24</v>
      </c>
      <c r="B150" t="s">
        <v>62</v>
      </c>
      <c r="E150">
        <f>H143+F141*7.5</f>
        <v>38.252963531311295</v>
      </c>
    </row>
    <row r="151" spans="1:8">
      <c r="A151" s="11" t="s">
        <v>30</v>
      </c>
    </row>
    <row r="152" spans="1:8" ht="15.75">
      <c r="A152" s="9" t="s">
        <v>24</v>
      </c>
      <c r="B152" t="s">
        <v>63</v>
      </c>
      <c r="E152">
        <f>H143+F141*5.898</f>
        <v>32.927320815693875</v>
      </c>
    </row>
    <row r="153" spans="1:8" ht="18">
      <c r="B153" s="4" t="s">
        <v>78</v>
      </c>
      <c r="C153" s="4" t="s">
        <v>86</v>
      </c>
      <c r="D153" s="2" t="s">
        <v>85</v>
      </c>
      <c r="H153">
        <f>(30.9-32.9273)</f>
        <v>-2.0273000000000039</v>
      </c>
    </row>
    <row r="154" spans="1:8">
      <c r="A154" s="11" t="s">
        <v>33</v>
      </c>
    </row>
    <row r="170" spans="1:10">
      <c r="A170" s="71" t="s">
        <v>64</v>
      </c>
      <c r="B170" s="71"/>
      <c r="C170" s="71"/>
      <c r="D170" s="71"/>
      <c r="E170" s="71"/>
      <c r="F170" s="71"/>
      <c r="G170" s="71"/>
      <c r="H170" s="71"/>
      <c r="I170" s="71"/>
      <c r="J170" s="71"/>
    </row>
    <row r="171" spans="1:10">
      <c r="A171" s="71" t="s">
        <v>65</v>
      </c>
      <c r="B171" s="71"/>
      <c r="C171" s="71"/>
      <c r="D171" s="71"/>
      <c r="E171" s="71"/>
      <c r="F171" s="71"/>
      <c r="G171" s="71"/>
      <c r="H171" s="71"/>
      <c r="I171" s="71"/>
      <c r="J171" s="71"/>
    </row>
    <row r="172" spans="1:10">
      <c r="A172" s="71" t="s">
        <v>66</v>
      </c>
      <c r="B172" s="71"/>
      <c r="C172" s="71"/>
      <c r="D172" s="71"/>
      <c r="E172" s="71"/>
      <c r="F172" s="71"/>
      <c r="G172" s="71"/>
      <c r="H172" s="71"/>
      <c r="I172" s="71"/>
      <c r="J172" s="71"/>
    </row>
    <row r="174" spans="1:10">
      <c r="A174" s="12" t="s">
        <v>67</v>
      </c>
      <c r="B174" s="12"/>
    </row>
    <row r="175" spans="1:10" ht="18">
      <c r="A175" s="21" t="s">
        <v>44</v>
      </c>
      <c r="B175" s="20" t="s">
        <v>82</v>
      </c>
      <c r="C175" s="14" t="s">
        <v>45</v>
      </c>
      <c r="D175" s="14" t="s">
        <v>46</v>
      </c>
      <c r="E175" s="15" t="s">
        <v>47</v>
      </c>
      <c r="F175" s="15" t="s">
        <v>60</v>
      </c>
      <c r="G175" s="17"/>
      <c r="H175" s="15" t="s">
        <v>52</v>
      </c>
    </row>
    <row r="176" spans="1:10">
      <c r="A176" s="16">
        <v>825</v>
      </c>
      <c r="B176" s="17">
        <v>40</v>
      </c>
      <c r="C176" s="17">
        <f>A176*B176</f>
        <v>33000</v>
      </c>
      <c r="D176" s="17">
        <f>A176^2</f>
        <v>680625</v>
      </c>
      <c r="E176" s="17">
        <f>B176^2</f>
        <v>1600</v>
      </c>
      <c r="F176" s="17">
        <f>$H$218+$F$216*A176</f>
        <v>40.708872668363163</v>
      </c>
      <c r="G176" s="17"/>
      <c r="H176" s="17">
        <f>(B176-F176)^2</f>
        <v>0.50250045995231152</v>
      </c>
    </row>
    <row r="177" spans="1:8">
      <c r="A177" s="16">
        <v>830</v>
      </c>
      <c r="B177" s="17">
        <v>42</v>
      </c>
      <c r="C177" s="17">
        <f t="shared" ref="C177:C188" si="12">A177*B177</f>
        <v>34860</v>
      </c>
      <c r="D177" s="17">
        <f t="shared" ref="D177:D188" si="13">A177^2</f>
        <v>688900</v>
      </c>
      <c r="E177" s="17">
        <f t="shared" ref="E177:E188" si="14">B177^2</f>
        <v>1764</v>
      </c>
      <c r="F177" s="17">
        <f t="shared" ref="F177:F188" si="15">$H$218+$F$216*A177</f>
        <v>41.055649508144811</v>
      </c>
      <c r="G177" s="17"/>
      <c r="H177" s="17">
        <f t="shared" ref="H177:H188" si="16">(B177-F177)^2</f>
        <v>0.8917978514671383</v>
      </c>
    </row>
    <row r="178" spans="1:8">
      <c r="A178" s="16">
        <v>890</v>
      </c>
      <c r="B178" s="17">
        <v>49</v>
      </c>
      <c r="C178" s="17">
        <f t="shared" si="12"/>
        <v>43610</v>
      </c>
      <c r="D178" s="17">
        <f t="shared" si="13"/>
        <v>792100</v>
      </c>
      <c r="E178" s="17">
        <f t="shared" si="14"/>
        <v>2401</v>
      </c>
      <c r="F178" s="17">
        <f t="shared" si="15"/>
        <v>45.216971585524519</v>
      </c>
      <c r="G178" s="17"/>
      <c r="H178" s="17">
        <f t="shared" si="16"/>
        <v>14.311303984728875</v>
      </c>
    </row>
    <row r="179" spans="1:8">
      <c r="A179" s="16">
        <v>895</v>
      </c>
      <c r="B179" s="17">
        <v>46</v>
      </c>
      <c r="C179" s="17">
        <f t="shared" si="12"/>
        <v>41170</v>
      </c>
      <c r="D179" s="17">
        <f t="shared" si="13"/>
        <v>801025</v>
      </c>
      <c r="E179" s="17">
        <f t="shared" si="14"/>
        <v>2116</v>
      </c>
      <c r="F179" s="17">
        <f t="shared" si="15"/>
        <v>45.563748425306159</v>
      </c>
      <c r="G179" s="17"/>
      <c r="H179" s="17">
        <f t="shared" si="16"/>
        <v>0.19031543642285623</v>
      </c>
    </row>
    <row r="180" spans="1:8">
      <c r="A180" s="16">
        <v>890</v>
      </c>
      <c r="B180" s="17">
        <v>44</v>
      </c>
      <c r="C180" s="17">
        <f t="shared" si="12"/>
        <v>39160</v>
      </c>
      <c r="D180" s="17">
        <f t="shared" si="13"/>
        <v>792100</v>
      </c>
      <c r="E180" s="17">
        <f t="shared" si="14"/>
        <v>1936</v>
      </c>
      <c r="F180" s="17">
        <f t="shared" si="15"/>
        <v>45.216971585524519</v>
      </c>
      <c r="G180" s="17"/>
      <c r="H180" s="17">
        <f t="shared" si="16"/>
        <v>1.4810198399740608</v>
      </c>
    </row>
    <row r="181" spans="1:8">
      <c r="A181" s="16">
        <v>910</v>
      </c>
      <c r="B181" s="17">
        <v>48</v>
      </c>
      <c r="C181" s="17">
        <f t="shared" si="12"/>
        <v>43680</v>
      </c>
      <c r="D181" s="17">
        <f t="shared" si="13"/>
        <v>828100</v>
      </c>
      <c r="E181" s="17">
        <f t="shared" si="14"/>
        <v>2304</v>
      </c>
      <c r="F181" s="17">
        <f t="shared" si="15"/>
        <v>46.604078944651086</v>
      </c>
      <c r="G181" s="17"/>
      <c r="H181" s="17">
        <f t="shared" si="16"/>
        <v>1.9485955927664267</v>
      </c>
    </row>
    <row r="182" spans="1:8">
      <c r="A182" s="16">
        <v>915</v>
      </c>
      <c r="B182" s="17">
        <v>46</v>
      </c>
      <c r="C182" s="17">
        <f t="shared" si="12"/>
        <v>42090</v>
      </c>
      <c r="D182" s="17">
        <f t="shared" si="13"/>
        <v>837225</v>
      </c>
      <c r="E182" s="17">
        <f t="shared" si="14"/>
        <v>2116</v>
      </c>
      <c r="F182" s="17">
        <f t="shared" si="15"/>
        <v>46.950855784432733</v>
      </c>
      <c r="G182" s="17"/>
      <c r="H182" s="17">
        <f t="shared" si="16"/>
        <v>0.9041267227891876</v>
      </c>
    </row>
    <row r="183" spans="1:8">
      <c r="A183" s="16">
        <v>960</v>
      </c>
      <c r="B183" s="17">
        <v>43</v>
      </c>
      <c r="C183" s="17">
        <f t="shared" si="12"/>
        <v>41280</v>
      </c>
      <c r="D183" s="17">
        <f t="shared" si="13"/>
        <v>921600</v>
      </c>
      <c r="E183" s="17">
        <f t="shared" si="14"/>
        <v>1849</v>
      </c>
      <c r="F183" s="17">
        <f t="shared" si="15"/>
        <v>50.071847342467507</v>
      </c>
      <c r="G183" s="17"/>
      <c r="H183" s="17">
        <f t="shared" si="16"/>
        <v>50.01102483516474</v>
      </c>
    </row>
    <row r="184" spans="1:8">
      <c r="A184" s="16">
        <v>990</v>
      </c>
      <c r="B184" s="17">
        <v>53</v>
      </c>
      <c r="C184" s="17">
        <f t="shared" si="12"/>
        <v>52470</v>
      </c>
      <c r="D184" s="17">
        <f t="shared" si="13"/>
        <v>980100</v>
      </c>
      <c r="E184" s="17">
        <f t="shared" si="14"/>
        <v>2809</v>
      </c>
      <c r="F184" s="17">
        <f t="shared" si="15"/>
        <v>52.152508381157361</v>
      </c>
      <c r="G184" s="17"/>
      <c r="H184" s="17">
        <f t="shared" si="16"/>
        <v>0.7182420440085171</v>
      </c>
    </row>
    <row r="185" spans="1:8">
      <c r="A185" s="16">
        <v>1010</v>
      </c>
      <c r="B185" s="17">
        <v>52</v>
      </c>
      <c r="C185" s="17">
        <f t="shared" si="12"/>
        <v>52520</v>
      </c>
      <c r="D185" s="17">
        <f t="shared" si="13"/>
        <v>1020100</v>
      </c>
      <c r="E185" s="17">
        <f t="shared" si="14"/>
        <v>2704</v>
      </c>
      <c r="F185" s="17">
        <f t="shared" si="15"/>
        <v>53.539615740283935</v>
      </c>
      <c r="G185" s="17"/>
      <c r="H185" s="17">
        <f t="shared" si="16"/>
        <v>2.3704166277300494</v>
      </c>
    </row>
    <row r="186" spans="1:8">
      <c r="A186" s="16">
        <v>1012</v>
      </c>
      <c r="B186" s="17">
        <v>54</v>
      </c>
      <c r="C186" s="17">
        <f t="shared" si="12"/>
        <v>54648</v>
      </c>
      <c r="D186" s="17">
        <f t="shared" si="13"/>
        <v>1024144</v>
      </c>
      <c r="E186" s="17">
        <f t="shared" si="14"/>
        <v>2916</v>
      </c>
      <c r="F186" s="17">
        <f t="shared" si="15"/>
        <v>53.678326476196588</v>
      </c>
      <c r="G186" s="17"/>
      <c r="H186" s="17">
        <f t="shared" si="16"/>
        <v>0.10347385591610417</v>
      </c>
    </row>
    <row r="187" spans="1:8">
      <c r="A187" s="16">
        <v>1030</v>
      </c>
      <c r="B187" s="17">
        <v>57</v>
      </c>
      <c r="C187" s="17">
        <f t="shared" si="12"/>
        <v>58710</v>
      </c>
      <c r="D187" s="17">
        <f t="shared" si="13"/>
        <v>1060900</v>
      </c>
      <c r="E187" s="17">
        <f t="shared" si="14"/>
        <v>3249</v>
      </c>
      <c r="F187" s="17">
        <f t="shared" si="15"/>
        <v>54.926723099410509</v>
      </c>
      <c r="G187" s="17"/>
      <c r="H187" s="17">
        <f t="shared" si="16"/>
        <v>4.2984771065179652</v>
      </c>
    </row>
    <row r="188" spans="1:8">
      <c r="A188" s="16">
        <v>1050</v>
      </c>
      <c r="B188" s="17">
        <v>58</v>
      </c>
      <c r="C188" s="17">
        <f t="shared" si="12"/>
        <v>60900</v>
      </c>
      <c r="D188" s="17">
        <f t="shared" si="13"/>
        <v>1102500</v>
      </c>
      <c r="E188" s="17">
        <f t="shared" si="14"/>
        <v>3364</v>
      </c>
      <c r="F188" s="17">
        <f t="shared" si="15"/>
        <v>56.313830458537083</v>
      </c>
      <c r="G188" s="17"/>
      <c r="H188" s="17">
        <f t="shared" si="16"/>
        <v>2.8431677225572631</v>
      </c>
    </row>
    <row r="189" spans="1:8">
      <c r="A189" s="26">
        <f>SUM(A176:A188)</f>
        <v>12207</v>
      </c>
      <c r="B189" s="26">
        <f t="shared" ref="B189:H189" si="17">SUM(B176:B188)</f>
        <v>632</v>
      </c>
      <c r="C189" s="26">
        <f t="shared" si="17"/>
        <v>598098</v>
      </c>
      <c r="D189" s="26">
        <f t="shared" si="17"/>
        <v>11529419</v>
      </c>
      <c r="E189" s="26">
        <f t="shared" si="17"/>
        <v>31128</v>
      </c>
      <c r="F189" s="26">
        <f t="shared" si="17"/>
        <v>631.99999999999989</v>
      </c>
      <c r="G189" s="26">
        <f t="shared" si="17"/>
        <v>0</v>
      </c>
      <c r="H189" s="26">
        <f t="shared" si="17"/>
        <v>80.574462079995499</v>
      </c>
    </row>
    <row r="205" spans="1:2">
      <c r="A205" s="1" t="s">
        <v>1</v>
      </c>
      <c r="B205" s="2">
        <v>13</v>
      </c>
    </row>
    <row r="206" spans="1:2" ht="18">
      <c r="A206" s="1" t="s">
        <v>2</v>
      </c>
      <c r="B206" s="4">
        <f>B189</f>
        <v>632</v>
      </c>
    </row>
    <row r="207" spans="1:2" ht="18">
      <c r="A207" s="1" t="s">
        <v>3</v>
      </c>
      <c r="B207" s="4">
        <f>E189</f>
        <v>31128</v>
      </c>
    </row>
    <row r="208" spans="1:2" ht="18">
      <c r="A208" s="1" t="s">
        <v>4</v>
      </c>
      <c r="B208" s="4">
        <f>A189</f>
        <v>12207</v>
      </c>
    </row>
    <row r="209" spans="1:10" ht="18">
      <c r="A209" s="1" t="s">
        <v>5</v>
      </c>
      <c r="B209" s="4">
        <f>D189</f>
        <v>11529419</v>
      </c>
    </row>
    <row r="210" spans="1:10" ht="18">
      <c r="A210" s="1" t="s">
        <v>13</v>
      </c>
      <c r="B210" s="4">
        <f>C189</f>
        <v>598098</v>
      </c>
      <c r="G210" s="5"/>
    </row>
    <row r="211" spans="1:10" ht="18">
      <c r="A211" s="67" t="s">
        <v>7</v>
      </c>
      <c r="B211" s="68" t="s">
        <v>10</v>
      </c>
      <c r="C211" s="6" t="s">
        <v>8</v>
      </c>
      <c r="D211" s="69" t="s">
        <v>29</v>
      </c>
      <c r="E211" s="69"/>
      <c r="F211" s="69"/>
      <c r="G211" s="69"/>
      <c r="H211" s="69"/>
      <c r="I211" s="69"/>
      <c r="J211" s="69">
        <f>B209-(B208^2)/B205</f>
        <v>67046</v>
      </c>
    </row>
    <row r="212" spans="1:10">
      <c r="A212" s="67"/>
      <c r="B212" s="68"/>
      <c r="C212" s="4" t="s">
        <v>9</v>
      </c>
      <c r="D212" s="69"/>
      <c r="E212" s="69"/>
      <c r="F212" s="69"/>
      <c r="G212" s="69"/>
      <c r="H212" s="69"/>
      <c r="I212" s="69"/>
      <c r="J212" s="69"/>
    </row>
    <row r="213" spans="1:10" ht="18">
      <c r="A213" s="67" t="s">
        <v>12</v>
      </c>
      <c r="B213" s="68" t="s">
        <v>15</v>
      </c>
      <c r="C213" s="7" t="s">
        <v>14</v>
      </c>
      <c r="D213" s="69" t="s">
        <v>29</v>
      </c>
      <c r="E213" s="69"/>
      <c r="F213" s="69"/>
      <c r="G213" s="69"/>
      <c r="H213" s="69"/>
      <c r="I213" s="69"/>
      <c r="J213" s="69">
        <f>B210-B208*B206/B205</f>
        <v>4650</v>
      </c>
    </row>
    <row r="214" spans="1:10">
      <c r="A214" s="67"/>
      <c r="B214" s="68"/>
      <c r="C214" s="4" t="s">
        <v>9</v>
      </c>
      <c r="D214" s="69"/>
      <c r="E214" s="69"/>
      <c r="F214" s="69"/>
      <c r="G214" s="69"/>
      <c r="H214" s="69"/>
      <c r="I214" s="69"/>
      <c r="J214" s="69"/>
    </row>
    <row r="216" spans="1:10" ht="18.75">
      <c r="A216" s="1" t="s">
        <v>21</v>
      </c>
      <c r="B216" s="4" t="s">
        <v>17</v>
      </c>
      <c r="F216">
        <f>J213/J211</f>
        <v>6.935536795632849E-2</v>
      </c>
    </row>
    <row r="217" spans="1:10">
      <c r="A217" s="1" t="s">
        <v>19</v>
      </c>
    </row>
    <row r="218" spans="1:10" ht="18.75">
      <c r="A218" s="1" t="s">
        <v>20</v>
      </c>
      <c r="B218" s="8" t="s">
        <v>22</v>
      </c>
      <c r="H218">
        <f>B206/B205-F216*(B208/B205)</f>
        <v>-16.509305895607838</v>
      </c>
    </row>
    <row r="219" spans="1:10">
      <c r="A219" s="11" t="s">
        <v>6</v>
      </c>
    </row>
    <row r="220" spans="1:10" ht="15.75">
      <c r="A220" s="9" t="s">
        <v>24</v>
      </c>
      <c r="B220" t="s">
        <v>83</v>
      </c>
    </row>
    <row r="221" spans="1:10" ht="18">
      <c r="A221" s="1" t="s">
        <v>40</v>
      </c>
      <c r="B221" s="4" t="s">
        <v>41</v>
      </c>
      <c r="C221" s="4" t="s">
        <v>51</v>
      </c>
      <c r="D221">
        <f>H189</f>
        <v>80.574462079995499</v>
      </c>
    </row>
    <row r="222" spans="1:10" ht="18.75">
      <c r="A222" s="1" t="s">
        <v>54</v>
      </c>
      <c r="B222" s="1" t="s">
        <v>53</v>
      </c>
      <c r="C222" t="s">
        <v>29</v>
      </c>
      <c r="E222">
        <f>D221/11</f>
        <v>7.3249510981814092</v>
      </c>
    </row>
    <row r="223" spans="1:10">
      <c r="A223" s="11" t="s">
        <v>26</v>
      </c>
    </row>
    <row r="224" spans="1:10">
      <c r="B224" t="s">
        <v>84</v>
      </c>
    </row>
    <row r="225" spans="1:8" ht="15.75">
      <c r="A225" s="9" t="s">
        <v>24</v>
      </c>
      <c r="B225" t="s">
        <v>87</v>
      </c>
      <c r="E225">
        <f>H218+F216*910</f>
        <v>46.604078944651086</v>
      </c>
    </row>
    <row r="226" spans="1:8" ht="18">
      <c r="B226" s="4" t="s">
        <v>78</v>
      </c>
      <c r="C226" s="4" t="s">
        <v>86</v>
      </c>
      <c r="D226" s="2" t="s">
        <v>88</v>
      </c>
      <c r="H226">
        <f>(48-46.6041)</f>
        <v>1.3958999999999975</v>
      </c>
    </row>
    <row r="227" spans="1:8">
      <c r="A227" s="11" t="s">
        <v>30</v>
      </c>
    </row>
    <row r="228" spans="1:8" ht="15.75">
      <c r="A228" s="9" t="s">
        <v>24</v>
      </c>
      <c r="B228" t="s">
        <v>89</v>
      </c>
      <c r="E228">
        <f>H218+F216*950</f>
        <v>49.378293662904227</v>
      </c>
    </row>
    <row r="230" spans="1:8">
      <c r="A230" s="71" t="s">
        <v>90</v>
      </c>
      <c r="B230" s="71"/>
    </row>
    <row r="231" spans="1:8">
      <c r="A231" s="12"/>
      <c r="B231" s="12"/>
    </row>
    <row r="232" spans="1:8" ht="18">
      <c r="A232" s="21" t="s">
        <v>44</v>
      </c>
      <c r="B232" s="20" t="s">
        <v>82</v>
      </c>
      <c r="C232" s="14" t="s">
        <v>45</v>
      </c>
      <c r="D232" s="14" t="s">
        <v>46</v>
      </c>
      <c r="E232" s="15" t="s">
        <v>47</v>
      </c>
      <c r="F232" s="15" t="s">
        <v>60</v>
      </c>
      <c r="G232" s="17"/>
      <c r="H232" s="15" t="s">
        <v>52</v>
      </c>
    </row>
    <row r="233" spans="1:8">
      <c r="A233" s="16">
        <v>0.19</v>
      </c>
      <c r="B233" s="17">
        <v>4.4000000000000004</v>
      </c>
      <c r="C233" s="17">
        <f>A233*B233</f>
        <v>0.83600000000000008</v>
      </c>
      <c r="D233" s="17">
        <f>A233^2</f>
        <v>3.61E-2</v>
      </c>
      <c r="E233" s="17">
        <f>B233^2</f>
        <v>19.360000000000003</v>
      </c>
      <c r="F233" s="17">
        <f>$H$280+$F$278*A233</f>
        <v>4.378254812119267</v>
      </c>
      <c r="G233" s="17"/>
      <c r="H233" s="17">
        <f>(B233-F233)^2</f>
        <v>4.7285319596839122E-4</v>
      </c>
    </row>
    <row r="234" spans="1:8">
      <c r="A234" s="16">
        <v>0.15</v>
      </c>
      <c r="B234" s="17">
        <v>6.6</v>
      </c>
      <c r="C234" s="17">
        <f t="shared" ref="C234:C250" si="18">A234*B234</f>
        <v>0.98999999999999988</v>
      </c>
      <c r="D234" s="17">
        <f t="shared" ref="D234:D250" si="19">A234^2</f>
        <v>2.2499999999999999E-2</v>
      </c>
      <c r="E234" s="17">
        <f t="shared" ref="E234:E250" si="20">B234^2</f>
        <v>43.559999999999995</v>
      </c>
      <c r="F234" s="17">
        <f t="shared" ref="F234:F250" si="21">$H$280+$F$278*A234</f>
        <v>3.5555626087582097</v>
      </c>
      <c r="G234" s="17"/>
      <c r="H234" s="17">
        <f t="shared" ref="H234:H250" si="22">(B234-F234)^2</f>
        <v>9.2685990291911153</v>
      </c>
    </row>
    <row r="235" spans="1:8">
      <c r="A235" s="16">
        <v>0.56999999999999995</v>
      </c>
      <c r="B235" s="17">
        <v>9.6999999999999993</v>
      </c>
      <c r="C235" s="17">
        <f t="shared" si="18"/>
        <v>5.528999999999999</v>
      </c>
      <c r="D235" s="17">
        <f t="shared" si="19"/>
        <v>0.32489999999999997</v>
      </c>
      <c r="E235" s="17">
        <f t="shared" si="20"/>
        <v>94.089999999999989</v>
      </c>
      <c r="F235" s="17">
        <f t="shared" si="21"/>
        <v>12.193830744049309</v>
      </c>
      <c r="G235" s="17"/>
      <c r="H235" s="17">
        <f t="shared" si="22"/>
        <v>6.2191917799655361</v>
      </c>
    </row>
    <row r="236" spans="1:8">
      <c r="A236" s="16">
        <v>0.7</v>
      </c>
      <c r="B236" s="17">
        <v>10.6</v>
      </c>
      <c r="C236" s="17">
        <f t="shared" si="18"/>
        <v>7.419999999999999</v>
      </c>
      <c r="D236" s="17">
        <f t="shared" si="19"/>
        <v>0.48999999999999994</v>
      </c>
      <c r="E236" s="17">
        <f t="shared" si="20"/>
        <v>112.36</v>
      </c>
      <c r="F236" s="17">
        <f t="shared" si="21"/>
        <v>14.867580404972745</v>
      </c>
      <c r="G236" s="17"/>
      <c r="H236" s="17">
        <f t="shared" si="22"/>
        <v>18.212242512907345</v>
      </c>
    </row>
    <row r="237" spans="1:8">
      <c r="A237" s="16">
        <v>0.67</v>
      </c>
      <c r="B237" s="17">
        <v>10.8</v>
      </c>
      <c r="C237" s="17">
        <f t="shared" si="18"/>
        <v>7.2360000000000007</v>
      </c>
      <c r="D237" s="17">
        <f t="shared" si="19"/>
        <v>0.44890000000000008</v>
      </c>
      <c r="E237" s="17">
        <f t="shared" si="20"/>
        <v>116.64000000000001</v>
      </c>
      <c r="F237" s="17">
        <f t="shared" si="21"/>
        <v>14.250561252451954</v>
      </c>
      <c r="G237" s="17"/>
      <c r="H237" s="17">
        <f t="shared" si="22"/>
        <v>11.906372956922791</v>
      </c>
    </row>
    <row r="238" spans="1:8">
      <c r="A238" s="16">
        <v>0.63</v>
      </c>
      <c r="B238" s="17">
        <v>10.9</v>
      </c>
      <c r="C238" s="17">
        <f t="shared" si="18"/>
        <v>6.867</v>
      </c>
      <c r="D238" s="17">
        <f t="shared" si="19"/>
        <v>0.39690000000000003</v>
      </c>
      <c r="E238" s="17">
        <f t="shared" si="20"/>
        <v>118.81</v>
      </c>
      <c r="F238" s="17">
        <f t="shared" si="21"/>
        <v>13.427869049090896</v>
      </c>
      <c r="G238" s="17"/>
      <c r="H238" s="17">
        <f t="shared" si="22"/>
        <v>6.3901219293517091</v>
      </c>
    </row>
    <row r="239" spans="1:8">
      <c r="A239" s="16">
        <v>0.47</v>
      </c>
      <c r="B239" s="17">
        <v>11.8</v>
      </c>
      <c r="C239" s="17">
        <f t="shared" si="18"/>
        <v>5.5460000000000003</v>
      </c>
      <c r="D239" s="17">
        <f t="shared" si="19"/>
        <v>0.22089999999999999</v>
      </c>
      <c r="E239" s="17">
        <f t="shared" si="20"/>
        <v>139.24</v>
      </c>
      <c r="F239" s="17">
        <f t="shared" si="21"/>
        <v>10.137100235646667</v>
      </c>
      <c r="G239" s="17"/>
      <c r="H239" s="17">
        <f t="shared" si="22"/>
        <v>2.7652356262863731</v>
      </c>
    </row>
    <row r="240" spans="1:8">
      <c r="A240" s="16">
        <v>0.7</v>
      </c>
      <c r="B240" s="17">
        <v>12.1</v>
      </c>
      <c r="C240" s="17">
        <f t="shared" si="18"/>
        <v>8.4699999999999989</v>
      </c>
      <c r="D240" s="17">
        <f t="shared" si="19"/>
        <v>0.48999999999999994</v>
      </c>
      <c r="E240" s="17">
        <f t="shared" si="20"/>
        <v>146.41</v>
      </c>
      <c r="F240" s="17">
        <f t="shared" si="21"/>
        <v>14.867580404972745</v>
      </c>
      <c r="G240" s="17"/>
      <c r="H240" s="17">
        <f t="shared" si="22"/>
        <v>7.6595012979891068</v>
      </c>
    </row>
    <row r="241" spans="1:8">
      <c r="A241" s="16">
        <v>0.6</v>
      </c>
      <c r="B241" s="17">
        <v>14.3</v>
      </c>
      <c r="C241" s="17">
        <f t="shared" si="18"/>
        <v>8.58</v>
      </c>
      <c r="D241" s="17">
        <f t="shared" si="19"/>
        <v>0.36</v>
      </c>
      <c r="E241" s="17">
        <f t="shared" si="20"/>
        <v>204.49</v>
      </c>
      <c r="F241" s="17">
        <f t="shared" si="21"/>
        <v>12.810849896570103</v>
      </c>
      <c r="G241" s="17"/>
      <c r="H241" s="17">
        <f t="shared" si="22"/>
        <v>2.2175680305452756</v>
      </c>
    </row>
    <row r="242" spans="1:8">
      <c r="A242" s="16">
        <v>0.78</v>
      </c>
      <c r="B242" s="17">
        <v>14.7</v>
      </c>
      <c r="C242" s="17">
        <f t="shared" si="18"/>
        <v>11.465999999999999</v>
      </c>
      <c r="D242" s="17">
        <f t="shared" si="19"/>
        <v>0.60840000000000005</v>
      </c>
      <c r="E242" s="17">
        <f t="shared" si="20"/>
        <v>216.08999999999997</v>
      </c>
      <c r="F242" s="17">
        <f t="shared" si="21"/>
        <v>16.512964811694861</v>
      </c>
      <c r="G242" s="17"/>
      <c r="H242" s="17">
        <f t="shared" si="22"/>
        <v>3.2868414084437849</v>
      </c>
    </row>
    <row r="243" spans="1:8">
      <c r="A243" s="16">
        <v>0.81</v>
      </c>
      <c r="B243" s="17">
        <v>15</v>
      </c>
      <c r="C243" s="17">
        <f t="shared" si="18"/>
        <v>12.15</v>
      </c>
      <c r="D243" s="17">
        <f t="shared" si="19"/>
        <v>0.65610000000000013</v>
      </c>
      <c r="E243" s="17">
        <f t="shared" si="20"/>
        <v>225</v>
      </c>
      <c r="F243" s="17">
        <f t="shared" si="21"/>
        <v>17.129983964215654</v>
      </c>
      <c r="G243" s="17"/>
      <c r="H243" s="17">
        <f t="shared" si="22"/>
        <v>4.536831687815833</v>
      </c>
    </row>
    <row r="244" spans="1:8">
      <c r="A244" s="16">
        <v>0.78</v>
      </c>
      <c r="B244" s="17">
        <v>17.3</v>
      </c>
      <c r="C244" s="17">
        <f t="shared" si="18"/>
        <v>13.494000000000002</v>
      </c>
      <c r="D244" s="17">
        <f t="shared" si="19"/>
        <v>0.60840000000000005</v>
      </c>
      <c r="E244" s="17">
        <f t="shared" si="20"/>
        <v>299.29000000000002</v>
      </c>
      <c r="F244" s="17">
        <f t="shared" si="21"/>
        <v>16.512964811694861</v>
      </c>
      <c r="G244" s="17"/>
      <c r="H244" s="17">
        <f t="shared" si="22"/>
        <v>0.619424387630507</v>
      </c>
    </row>
    <row r="245" spans="1:8">
      <c r="A245" s="16">
        <v>0.69</v>
      </c>
      <c r="B245" s="17">
        <v>19.2</v>
      </c>
      <c r="C245" s="17">
        <f t="shared" si="18"/>
        <v>13.247999999999999</v>
      </c>
      <c r="D245" s="17">
        <f t="shared" si="19"/>
        <v>0.47609999999999991</v>
      </c>
      <c r="E245" s="17">
        <f t="shared" si="20"/>
        <v>368.64</v>
      </c>
      <c r="F245" s="17">
        <f t="shared" si="21"/>
        <v>14.661907354132481</v>
      </c>
      <c r="G245" s="17"/>
      <c r="H245" s="17">
        <f t="shared" si="22"/>
        <v>20.594284862476854</v>
      </c>
    </row>
    <row r="246" spans="1:8">
      <c r="A246" s="16">
        <v>1.3</v>
      </c>
      <c r="B246" s="17">
        <v>23.1</v>
      </c>
      <c r="C246" s="17">
        <f t="shared" si="18"/>
        <v>30.03</v>
      </c>
      <c r="D246" s="17">
        <f t="shared" si="19"/>
        <v>1.6900000000000002</v>
      </c>
      <c r="E246" s="17">
        <f t="shared" si="20"/>
        <v>533.61</v>
      </c>
      <c r="F246" s="17">
        <f t="shared" si="21"/>
        <v>27.207963455388605</v>
      </c>
      <c r="G246" s="17"/>
      <c r="H246" s="17">
        <f t="shared" si="22"/>
        <v>16.875363750808273</v>
      </c>
    </row>
    <row r="247" spans="1:8">
      <c r="A247" s="16">
        <v>1.05</v>
      </c>
      <c r="B247" s="17">
        <v>27.4</v>
      </c>
      <c r="C247" s="17">
        <f t="shared" si="18"/>
        <v>28.77</v>
      </c>
      <c r="D247" s="17">
        <f t="shared" si="19"/>
        <v>1.1025</v>
      </c>
      <c r="E247" s="17">
        <f t="shared" si="20"/>
        <v>750.75999999999988</v>
      </c>
      <c r="F247" s="17">
        <f t="shared" si="21"/>
        <v>22.066137184381997</v>
      </c>
      <c r="G247" s="17"/>
      <c r="H247" s="17">
        <f t="shared" si="22"/>
        <v>28.450092535832393</v>
      </c>
    </row>
    <row r="248" spans="1:8">
      <c r="A248" s="16">
        <v>1.06</v>
      </c>
      <c r="B248" s="17">
        <v>27.7</v>
      </c>
      <c r="C248" s="17">
        <f t="shared" si="18"/>
        <v>29.362000000000002</v>
      </c>
      <c r="D248" s="17">
        <f t="shared" si="19"/>
        <v>1.1236000000000002</v>
      </c>
      <c r="E248" s="17">
        <f t="shared" si="20"/>
        <v>767.29</v>
      </c>
      <c r="F248" s="17">
        <f t="shared" si="21"/>
        <v>22.271810235222262</v>
      </c>
      <c r="G248" s="17"/>
      <c r="H248" s="17">
        <f t="shared" si="22"/>
        <v>29.465244122437792</v>
      </c>
    </row>
    <row r="249" spans="1:8">
      <c r="A249" s="16">
        <v>1.74</v>
      </c>
      <c r="B249" s="17">
        <v>31.8</v>
      </c>
      <c r="C249" s="17">
        <f t="shared" si="18"/>
        <v>55.332000000000001</v>
      </c>
      <c r="D249" s="17">
        <f t="shared" si="19"/>
        <v>3.0276000000000001</v>
      </c>
      <c r="E249" s="17">
        <f t="shared" si="20"/>
        <v>1011.24</v>
      </c>
      <c r="F249" s="17">
        <f t="shared" si="21"/>
        <v>36.257577692360229</v>
      </c>
      <c r="G249" s="17"/>
      <c r="H249" s="17">
        <f t="shared" si="22"/>
        <v>19.869998883427538</v>
      </c>
    </row>
    <row r="250" spans="1:8">
      <c r="A250" s="16">
        <v>1.62</v>
      </c>
      <c r="B250" s="17">
        <v>39.5</v>
      </c>
      <c r="C250" s="17">
        <f t="shared" si="18"/>
        <v>63.99</v>
      </c>
      <c r="D250" s="17">
        <f t="shared" si="19"/>
        <v>2.6244000000000005</v>
      </c>
      <c r="E250" s="17">
        <f t="shared" si="20"/>
        <v>1560.25</v>
      </c>
      <c r="F250" s="17">
        <f t="shared" si="21"/>
        <v>33.789501082277063</v>
      </c>
      <c r="G250" s="17"/>
      <c r="H250" s="17">
        <f t="shared" si="22"/>
        <v>32.609797889314834</v>
      </c>
    </row>
    <row r="251" spans="1:8">
      <c r="A251" s="26">
        <f>SUM(A233:A250)</f>
        <v>14.510000000000002</v>
      </c>
      <c r="B251" s="26">
        <f t="shared" ref="B251" si="23">SUM(B233:B250)</f>
        <v>306.89999999999998</v>
      </c>
      <c r="C251" s="26">
        <f t="shared" ref="C251" si="24">SUM(C233:C250)</f>
        <v>309.31600000000003</v>
      </c>
      <c r="D251" s="26">
        <f t="shared" ref="D251" si="25">SUM(D233:D250)</f>
        <v>14.7073</v>
      </c>
      <c r="E251" s="26">
        <f t="shared" ref="E251" si="26">SUM(E233:E250)</f>
        <v>6727.1299999999992</v>
      </c>
      <c r="F251" s="26">
        <f t="shared" ref="F251" si="27">SUM(F233:F250)</f>
        <v>306.89999999999992</v>
      </c>
      <c r="G251" s="26">
        <f t="shared" ref="G251" si="28">SUM(G233:G250)</f>
        <v>0</v>
      </c>
      <c r="H251" s="26">
        <f t="shared" ref="H251" si="29">SUM(H233:H250)</f>
        <v>220.947185544543</v>
      </c>
    </row>
    <row r="267" spans="1:7">
      <c r="A267" s="1" t="s">
        <v>1</v>
      </c>
      <c r="B267" s="2">
        <v>18</v>
      </c>
    </row>
    <row r="268" spans="1:7" ht="18">
      <c r="A268" s="1" t="s">
        <v>2</v>
      </c>
      <c r="B268" s="4">
        <f>B251</f>
        <v>306.89999999999998</v>
      </c>
    </row>
    <row r="269" spans="1:7" ht="18">
      <c r="A269" s="1" t="s">
        <v>3</v>
      </c>
      <c r="B269" s="4">
        <f>E251</f>
        <v>6727.1299999999992</v>
      </c>
    </row>
    <row r="270" spans="1:7" ht="18">
      <c r="A270" s="1" t="s">
        <v>4</v>
      </c>
      <c r="B270" s="4">
        <f>A251</f>
        <v>14.510000000000002</v>
      </c>
    </row>
    <row r="271" spans="1:7" ht="18">
      <c r="A271" s="1" t="s">
        <v>5</v>
      </c>
      <c r="B271" s="4">
        <f>D251</f>
        <v>14.7073</v>
      </c>
    </row>
    <row r="272" spans="1:7" ht="18">
      <c r="A272" s="1" t="s">
        <v>13</v>
      </c>
      <c r="B272" s="4">
        <f>C251</f>
        <v>309.31600000000003</v>
      </c>
      <c r="G272" s="5"/>
    </row>
    <row r="273" spans="1:10" ht="18">
      <c r="A273" s="67" t="s">
        <v>7</v>
      </c>
      <c r="B273" s="68" t="s">
        <v>10</v>
      </c>
      <c r="C273" s="6" t="s">
        <v>8</v>
      </c>
      <c r="D273" s="69" t="s">
        <v>29</v>
      </c>
      <c r="E273" s="69"/>
      <c r="F273" s="69"/>
      <c r="G273" s="69"/>
      <c r="H273" s="69"/>
      <c r="I273" s="69"/>
      <c r="J273" s="69">
        <f>B271-(B270^2)/B267</f>
        <v>3.0106277777777741</v>
      </c>
    </row>
    <row r="274" spans="1:10">
      <c r="A274" s="67"/>
      <c r="B274" s="68"/>
      <c r="C274" s="4" t="s">
        <v>9</v>
      </c>
      <c r="D274" s="69"/>
      <c r="E274" s="69"/>
      <c r="F274" s="69"/>
      <c r="G274" s="69"/>
      <c r="H274" s="69"/>
      <c r="I274" s="69"/>
      <c r="J274" s="69"/>
    </row>
    <row r="275" spans="1:10" ht="18">
      <c r="A275" s="67" t="s">
        <v>12</v>
      </c>
      <c r="B275" s="68" t="s">
        <v>15</v>
      </c>
      <c r="C275" s="7" t="s">
        <v>14</v>
      </c>
      <c r="D275" s="69" t="s">
        <v>29</v>
      </c>
      <c r="E275" s="69"/>
      <c r="F275" s="69"/>
      <c r="G275" s="69"/>
      <c r="H275" s="69"/>
      <c r="I275" s="69"/>
      <c r="J275" s="69">
        <f>B272-B270*B268/B267</f>
        <v>61.920500000000004</v>
      </c>
    </row>
    <row r="276" spans="1:10">
      <c r="A276" s="67"/>
      <c r="B276" s="68"/>
      <c r="C276" s="4" t="s">
        <v>9</v>
      </c>
      <c r="D276" s="69"/>
      <c r="E276" s="69"/>
      <c r="F276" s="69"/>
      <c r="G276" s="69"/>
      <c r="H276" s="69"/>
      <c r="I276" s="69"/>
      <c r="J276" s="69"/>
    </row>
    <row r="278" spans="1:10" ht="18.75">
      <c r="A278" s="1" t="s">
        <v>21</v>
      </c>
      <c r="B278" s="4" t="s">
        <v>17</v>
      </c>
      <c r="F278">
        <f>J275/J273</f>
        <v>20.56730508402643</v>
      </c>
    </row>
    <row r="279" spans="1:10">
      <c r="A279" s="1" t="s">
        <v>19</v>
      </c>
    </row>
    <row r="280" spans="1:10" ht="18.75">
      <c r="A280" s="1" t="s">
        <v>20</v>
      </c>
      <c r="B280" s="8" t="s">
        <v>22</v>
      </c>
      <c r="H280">
        <f>B268/B267-F278*(B270/B267)</f>
        <v>0.47046684615424539</v>
      </c>
    </row>
    <row r="281" spans="1:10">
      <c r="A281" s="11" t="s">
        <v>6</v>
      </c>
    </row>
    <row r="282" spans="1:10" ht="15.75">
      <c r="A282" s="9" t="s">
        <v>24</v>
      </c>
      <c r="B282" t="s">
        <v>91</v>
      </c>
    </row>
    <row r="283" spans="1:10">
      <c r="A283" s="12" t="s">
        <v>92</v>
      </c>
      <c r="B283" s="12"/>
      <c r="C283" s="12"/>
      <c r="D283" s="12"/>
      <c r="E283" s="12"/>
      <c r="F283" s="12"/>
      <c r="G283" s="12"/>
      <c r="H283" s="12"/>
      <c r="I283" s="12"/>
      <c r="J283" s="12"/>
    </row>
    <row r="284" spans="1:10">
      <c r="A284" s="11" t="s">
        <v>26</v>
      </c>
      <c r="B284" s="4"/>
      <c r="C284" s="4"/>
    </row>
    <row r="285" spans="1:10" ht="18">
      <c r="A285" s="1" t="s">
        <v>40</v>
      </c>
      <c r="B285" s="4" t="s">
        <v>41</v>
      </c>
      <c r="C285" s="4" t="s">
        <v>51</v>
      </c>
      <c r="D285">
        <f>H251</f>
        <v>220.947185544543</v>
      </c>
    </row>
    <row r="286" spans="1:10" ht="18.75">
      <c r="A286" s="1" t="s">
        <v>54</v>
      </c>
      <c r="B286" s="1" t="s">
        <v>53</v>
      </c>
      <c r="C286" t="s">
        <v>29</v>
      </c>
      <c r="E286">
        <f>D285/16</f>
        <v>13.809199096533938</v>
      </c>
    </row>
    <row r="287" spans="1:10">
      <c r="A287" s="11" t="s">
        <v>30</v>
      </c>
    </row>
    <row r="288" spans="1:10">
      <c r="B288" t="s">
        <v>93</v>
      </c>
    </row>
    <row r="289" spans="1:8" ht="15.75">
      <c r="A289" s="9" t="s">
        <v>24</v>
      </c>
      <c r="B289" t="s">
        <v>94</v>
      </c>
      <c r="E289">
        <f>0.470466846+20.5673</f>
        <v>21.037766846</v>
      </c>
    </row>
    <row r="290" spans="1:8">
      <c r="A290" s="11" t="s">
        <v>33</v>
      </c>
    </row>
    <row r="291" spans="1:8">
      <c r="B291" t="s">
        <v>95</v>
      </c>
    </row>
    <row r="292" spans="1:8" ht="15.75">
      <c r="A292" s="9" t="s">
        <v>24</v>
      </c>
      <c r="B292" t="s">
        <v>96</v>
      </c>
      <c r="E292">
        <f>0.470466846+20.5673*(0.47)</f>
        <v>10.137097846</v>
      </c>
    </row>
    <row r="293" spans="1:8" ht="18">
      <c r="B293" s="4" t="s">
        <v>78</v>
      </c>
      <c r="C293" s="4" t="s">
        <v>86</v>
      </c>
      <c r="D293" s="2" t="s">
        <v>97</v>
      </c>
      <c r="H293">
        <f>(11.8-10.1371)</f>
        <v>1.6629000000000005</v>
      </c>
    </row>
    <row r="295" spans="1:8" ht="15.75">
      <c r="A295" s="9"/>
    </row>
  </sheetData>
  <mergeCells count="45">
    <mergeCell ref="A275:A276"/>
    <mergeCell ref="B275:B276"/>
    <mergeCell ref="D275:I276"/>
    <mergeCell ref="J275:J276"/>
    <mergeCell ref="A230:B230"/>
    <mergeCell ref="A273:A274"/>
    <mergeCell ref="B273:B274"/>
    <mergeCell ref="D273:I274"/>
    <mergeCell ref="J273:J274"/>
    <mergeCell ref="A211:A212"/>
    <mergeCell ref="B211:B212"/>
    <mergeCell ref="D211:I212"/>
    <mergeCell ref="J211:J212"/>
    <mergeCell ref="A213:A214"/>
    <mergeCell ref="B213:B214"/>
    <mergeCell ref="D213:I214"/>
    <mergeCell ref="J213:J214"/>
    <mergeCell ref="A170:J170"/>
    <mergeCell ref="A171:J171"/>
    <mergeCell ref="A172:J172"/>
    <mergeCell ref="J136:J137"/>
    <mergeCell ref="A138:A139"/>
    <mergeCell ref="B138:B139"/>
    <mergeCell ref="D138:I139"/>
    <mergeCell ref="J138:J139"/>
    <mergeCell ref="A96:B96"/>
    <mergeCell ref="A136:A137"/>
    <mergeCell ref="B136:B137"/>
    <mergeCell ref="D136:I137"/>
    <mergeCell ref="A80:A81"/>
    <mergeCell ref="B80:B81"/>
    <mergeCell ref="D80:I81"/>
    <mergeCell ref="J80:J81"/>
    <mergeCell ref="A78:A79"/>
    <mergeCell ref="B78:B79"/>
    <mergeCell ref="D78:I79"/>
    <mergeCell ref="J78:J79"/>
    <mergeCell ref="A9:A10"/>
    <mergeCell ref="B9:B10"/>
    <mergeCell ref="J9:J10"/>
    <mergeCell ref="A11:A12"/>
    <mergeCell ref="B11:B12"/>
    <mergeCell ref="J11:J12"/>
    <mergeCell ref="D9:I10"/>
    <mergeCell ref="D11:I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47"/>
  <sheetViews>
    <sheetView tabSelected="1" topLeftCell="A196" workbookViewId="0">
      <selection activeCell="P214" sqref="P214"/>
    </sheetView>
  </sheetViews>
  <sheetFormatPr defaultRowHeight="15"/>
  <cols>
    <col min="1" max="1" width="10.42578125" style="13" customWidth="1"/>
    <col min="2" max="2" width="12.42578125" customWidth="1"/>
    <col min="4" max="4" width="9.140625" customWidth="1"/>
    <col min="5" max="5" width="8" bestFit="1" customWidth="1"/>
    <col min="6" max="6" width="7.7109375" bestFit="1" customWidth="1"/>
    <col min="7" max="7" width="4.85546875" customWidth="1"/>
    <col min="8" max="8" width="10.42578125" customWidth="1"/>
    <col min="9" max="9" width="8.140625" customWidth="1"/>
    <col min="10" max="10" width="10" customWidth="1"/>
  </cols>
  <sheetData>
    <row r="1" spans="1:13">
      <c r="A1" s="28" t="s">
        <v>35</v>
      </c>
      <c r="B1" s="28"/>
      <c r="C1" s="28"/>
      <c r="D1" s="28"/>
      <c r="E1" s="28"/>
      <c r="F1" s="28"/>
      <c r="G1" s="28"/>
      <c r="H1" s="28"/>
      <c r="I1" s="28"/>
      <c r="J1" s="28"/>
      <c r="K1" s="12"/>
    </row>
    <row r="2" spans="1:13" ht="18">
      <c r="A2" s="29"/>
      <c r="B2" s="29" t="s">
        <v>42</v>
      </c>
      <c r="C2" s="29" t="s">
        <v>43</v>
      </c>
      <c r="D2" s="29" t="s">
        <v>45</v>
      </c>
      <c r="E2" s="29" t="s">
        <v>46</v>
      </c>
      <c r="F2" s="30" t="s">
        <v>47</v>
      </c>
      <c r="G2" s="28"/>
      <c r="H2" s="30" t="s">
        <v>60</v>
      </c>
      <c r="I2" s="31"/>
      <c r="J2" s="30" t="s">
        <v>52</v>
      </c>
      <c r="K2" s="44" t="s">
        <v>100</v>
      </c>
      <c r="L2" s="45" t="s">
        <v>101</v>
      </c>
      <c r="M2" t="s">
        <v>110</v>
      </c>
    </row>
    <row r="3" spans="1:13">
      <c r="A3" s="32"/>
      <c r="B3" s="33">
        <v>8.39</v>
      </c>
      <c r="C3" s="33">
        <v>105.5</v>
      </c>
      <c r="D3" s="33">
        <f>B3*C3</f>
        <v>885.1450000000001</v>
      </c>
      <c r="E3" s="33">
        <f>B3^2</f>
        <v>70.392100000000013</v>
      </c>
      <c r="F3" s="33">
        <f>C3^2</f>
        <v>11130.25</v>
      </c>
      <c r="G3" s="31"/>
      <c r="H3" s="33">
        <f>$H$57+$F$55*(B3)</f>
        <v>98.865225689783173</v>
      </c>
      <c r="I3" s="31"/>
      <c r="J3" s="33">
        <f>(C3-H3)^2</f>
        <v>44.020230147513168</v>
      </c>
      <c r="K3" s="45">
        <f>(C3-H3)</f>
        <v>6.6347743102168266</v>
      </c>
      <c r="L3" s="45">
        <f>K3/SQRT($E$60)</f>
        <v>1.271336914613282</v>
      </c>
      <c r="M3">
        <f>NORMSDIST(L3)</f>
        <v>0.89819559245286296</v>
      </c>
    </row>
    <row r="4" spans="1:13">
      <c r="A4" s="32"/>
      <c r="B4" s="33">
        <v>7.67</v>
      </c>
      <c r="C4" s="33">
        <v>97.4</v>
      </c>
      <c r="D4" s="33">
        <f t="shared" ref="D4:D34" si="0">B4*C4</f>
        <v>747.05799999999999</v>
      </c>
      <c r="E4" s="33">
        <f t="shared" ref="E4:F34" si="1">B4^2</f>
        <v>58.828899999999997</v>
      </c>
      <c r="F4" s="33">
        <f t="shared" si="1"/>
        <v>9486.76</v>
      </c>
      <c r="G4" s="31"/>
      <c r="H4" s="33">
        <f t="shared" ref="H4:H34" si="2">$H$57+$F$55*(B4)</f>
        <v>91.599169575471066</v>
      </c>
      <c r="I4" s="31"/>
      <c r="J4" s="33">
        <f>(C4-H4)^2</f>
        <v>33.649633614140598</v>
      </c>
      <c r="K4" s="45">
        <f t="shared" ref="K4:K34" si="3">(C4-H4)</f>
        <v>5.8008304245289395</v>
      </c>
      <c r="L4" s="45">
        <f t="shared" ref="L4:L34" si="4">K4/SQRT($E$60)</f>
        <v>1.1115389174216637</v>
      </c>
      <c r="M4">
        <f t="shared" ref="M4:M34" si="5">NORMSDIST(L4)</f>
        <v>0.86683177591087346</v>
      </c>
    </row>
    <row r="5" spans="1:13">
      <c r="A5" s="32"/>
      <c r="B5" s="33">
        <v>7.66</v>
      </c>
      <c r="C5" s="33">
        <v>96.9</v>
      </c>
      <c r="D5" s="33">
        <f t="shared" si="0"/>
        <v>742.25400000000002</v>
      </c>
      <c r="E5" s="33">
        <f t="shared" si="1"/>
        <v>58.675600000000003</v>
      </c>
      <c r="F5" s="33">
        <f t="shared" si="1"/>
        <v>9389.61</v>
      </c>
      <c r="G5" s="31"/>
      <c r="H5" s="33">
        <f t="shared" si="2"/>
        <v>91.498252129438953</v>
      </c>
      <c r="I5" s="31"/>
      <c r="J5" s="33">
        <f t="shared" ref="J5:J34" si="6">(C5-H5)^2</f>
        <v>29.17888005711087</v>
      </c>
      <c r="K5" s="45">
        <f t="shared" si="3"/>
        <v>5.4017478705610529</v>
      </c>
      <c r="L5" s="45">
        <f t="shared" si="4"/>
        <v>1.0350678335362284</v>
      </c>
      <c r="M5">
        <f t="shared" si="5"/>
        <v>0.84968138332723819</v>
      </c>
    </row>
    <row r="6" spans="1:13">
      <c r="A6" s="32"/>
      <c r="B6" s="33">
        <v>7.98</v>
      </c>
      <c r="C6" s="33">
        <v>96.2</v>
      </c>
      <c r="D6" s="33">
        <f t="shared" si="0"/>
        <v>767.67600000000004</v>
      </c>
      <c r="E6" s="33">
        <f t="shared" si="1"/>
        <v>63.680400000000006</v>
      </c>
      <c r="F6" s="33">
        <f t="shared" si="1"/>
        <v>9254.44</v>
      </c>
      <c r="G6" s="31"/>
      <c r="H6" s="33">
        <f t="shared" si="2"/>
        <v>94.727610402466553</v>
      </c>
      <c r="I6" s="31"/>
      <c r="J6" s="33">
        <f t="shared" si="6"/>
        <v>2.167931126924715</v>
      </c>
      <c r="K6" s="45">
        <f t="shared" si="3"/>
        <v>1.47238959753345</v>
      </c>
      <c r="L6" s="45">
        <f t="shared" si="4"/>
        <v>0.28213518056738451</v>
      </c>
      <c r="M6">
        <f t="shared" si="5"/>
        <v>0.61108007084269922</v>
      </c>
    </row>
    <row r="7" spans="1:13">
      <c r="A7" s="32"/>
      <c r="B7" s="33">
        <v>7.21</v>
      </c>
      <c r="C7" s="33">
        <v>95</v>
      </c>
      <c r="D7" s="33">
        <f t="shared" si="0"/>
        <v>684.95</v>
      </c>
      <c r="E7" s="33">
        <f t="shared" si="1"/>
        <v>51.984099999999998</v>
      </c>
      <c r="F7" s="33">
        <f t="shared" si="1"/>
        <v>9025</v>
      </c>
      <c r="G7" s="31"/>
      <c r="H7" s="33">
        <f t="shared" si="2"/>
        <v>86.956967057993893</v>
      </c>
      <c r="I7" s="31"/>
      <c r="J7" s="33">
        <f t="shared" si="6"/>
        <v>64.69037890619542</v>
      </c>
      <c r="K7" s="45">
        <f t="shared" si="3"/>
        <v>8.0430329420061071</v>
      </c>
      <c r="L7" s="45">
        <f t="shared" si="4"/>
        <v>1.541183498717813</v>
      </c>
      <c r="M7">
        <f t="shared" si="5"/>
        <v>0.93836393379640315</v>
      </c>
    </row>
    <row r="8" spans="1:13">
      <c r="A8" s="32"/>
      <c r="B8" s="33">
        <v>7.53</v>
      </c>
      <c r="C8" s="33">
        <v>93.8</v>
      </c>
      <c r="D8" s="33">
        <f t="shared" si="0"/>
        <v>706.31399999999996</v>
      </c>
      <c r="E8" s="33">
        <f t="shared" si="1"/>
        <v>56.700900000000004</v>
      </c>
      <c r="F8" s="33">
        <f t="shared" si="1"/>
        <v>8798.4399999999987</v>
      </c>
      <c r="G8" s="31"/>
      <c r="H8" s="33">
        <f t="shared" si="2"/>
        <v>90.186325331021493</v>
      </c>
      <c r="I8" s="31"/>
      <c r="J8" s="33">
        <f t="shared" si="6"/>
        <v>13.058644613216902</v>
      </c>
      <c r="K8" s="45">
        <f t="shared" si="3"/>
        <v>3.6136746689785042</v>
      </c>
      <c r="L8" s="45">
        <f t="shared" si="4"/>
        <v>0.69244224283571221</v>
      </c>
      <c r="M8">
        <f t="shared" si="5"/>
        <v>0.75567017736030384</v>
      </c>
    </row>
    <row r="9" spans="1:13">
      <c r="A9" s="32"/>
      <c r="B9" s="33">
        <v>8.01</v>
      </c>
      <c r="C9" s="33">
        <v>92.7</v>
      </c>
      <c r="D9" s="33">
        <f t="shared" si="0"/>
        <v>742.52700000000004</v>
      </c>
      <c r="E9" s="33">
        <f t="shared" si="1"/>
        <v>64.1601</v>
      </c>
      <c r="F9" s="33">
        <f t="shared" si="1"/>
        <v>8593.2900000000009</v>
      </c>
      <c r="G9" s="31"/>
      <c r="H9" s="33">
        <f t="shared" si="2"/>
        <v>95.030362740562893</v>
      </c>
      <c r="I9" s="31"/>
      <c r="J9" s="33">
        <f t="shared" si="6"/>
        <v>5.430590502603784</v>
      </c>
      <c r="K9" s="45">
        <f t="shared" si="3"/>
        <v>-2.3303627405628902</v>
      </c>
      <c r="L9" s="45">
        <f t="shared" si="4"/>
        <v>-0.44653759690887751</v>
      </c>
      <c r="M9">
        <f t="shared" si="5"/>
        <v>0.32760448043384727</v>
      </c>
    </row>
    <row r="10" spans="1:13">
      <c r="A10" s="32"/>
      <c r="B10" s="33">
        <v>7.66</v>
      </c>
      <c r="C10" s="33">
        <v>91.4</v>
      </c>
      <c r="D10" s="33">
        <f t="shared" si="0"/>
        <v>700.12400000000002</v>
      </c>
      <c r="E10" s="33">
        <f t="shared" si="1"/>
        <v>58.675600000000003</v>
      </c>
      <c r="F10" s="33">
        <f t="shared" si="1"/>
        <v>8353.9600000000009</v>
      </c>
      <c r="G10" s="31"/>
      <c r="H10" s="33">
        <f t="shared" si="2"/>
        <v>91.498252129438953</v>
      </c>
      <c r="I10" s="31"/>
      <c r="J10" s="33">
        <f t="shared" si="6"/>
        <v>9.6534809392876189E-3</v>
      </c>
      <c r="K10" s="45">
        <f t="shared" si="3"/>
        <v>-9.8252129438947122E-2</v>
      </c>
      <c r="L10" s="45">
        <f t="shared" si="4"/>
        <v>-1.8826798509595982E-2</v>
      </c>
      <c r="M10">
        <f t="shared" si="5"/>
        <v>0.49248963774511922</v>
      </c>
    </row>
    <row r="11" spans="1:13">
      <c r="A11" s="32"/>
      <c r="B11" s="33">
        <v>7.21</v>
      </c>
      <c r="C11" s="33">
        <v>90.2</v>
      </c>
      <c r="D11" s="33">
        <f t="shared" si="0"/>
        <v>650.34199999999998</v>
      </c>
      <c r="E11" s="33">
        <f t="shared" si="1"/>
        <v>51.984099999999998</v>
      </c>
      <c r="F11" s="33">
        <f t="shared" si="1"/>
        <v>8136.0400000000009</v>
      </c>
      <c r="G11" s="31"/>
      <c r="H11" s="33">
        <f t="shared" si="2"/>
        <v>86.956967057993893</v>
      </c>
      <c r="I11" s="31"/>
      <c r="J11" s="33">
        <f t="shared" si="6"/>
        <v>10.517262662936805</v>
      </c>
      <c r="K11" s="45">
        <f t="shared" si="3"/>
        <v>3.2430329420061099</v>
      </c>
      <c r="L11" s="45">
        <f t="shared" si="4"/>
        <v>0.62142091075054851</v>
      </c>
      <c r="M11">
        <f t="shared" si="5"/>
        <v>0.73283864143132382</v>
      </c>
    </row>
    <row r="12" spans="1:13">
      <c r="A12" s="32"/>
      <c r="B12" s="33">
        <v>7.16</v>
      </c>
      <c r="C12" s="33">
        <v>89.4</v>
      </c>
      <c r="D12" s="33">
        <f t="shared" si="0"/>
        <v>640.10400000000004</v>
      </c>
      <c r="E12" s="33">
        <f t="shared" si="1"/>
        <v>51.265599999999999</v>
      </c>
      <c r="F12" s="33">
        <f t="shared" si="1"/>
        <v>7992.3600000000006</v>
      </c>
      <c r="G12" s="31"/>
      <c r="H12" s="33">
        <f t="shared" si="2"/>
        <v>86.452379827833326</v>
      </c>
      <c r="I12" s="31"/>
      <c r="J12" s="33">
        <f t="shared" si="6"/>
        <v>8.6884646793639266</v>
      </c>
      <c r="K12" s="45">
        <f t="shared" si="3"/>
        <v>2.9476201721666797</v>
      </c>
      <c r="L12" s="45">
        <f t="shared" si="4"/>
        <v>0.56481474122844599</v>
      </c>
      <c r="M12">
        <f t="shared" si="5"/>
        <v>0.71390011033799838</v>
      </c>
    </row>
    <row r="13" spans="1:13" ht="14.25" customHeight="1">
      <c r="A13" s="32"/>
      <c r="B13" s="33">
        <v>7.93</v>
      </c>
      <c r="C13" s="33">
        <v>87.7</v>
      </c>
      <c r="D13" s="33">
        <f t="shared" si="0"/>
        <v>695.46100000000001</v>
      </c>
      <c r="E13" s="33">
        <f t="shared" si="1"/>
        <v>62.884899999999995</v>
      </c>
      <c r="F13" s="33">
        <f t="shared" si="1"/>
        <v>7691.2900000000009</v>
      </c>
      <c r="G13" s="31"/>
      <c r="H13" s="33">
        <f t="shared" si="2"/>
        <v>94.223023172305986</v>
      </c>
      <c r="I13" s="31"/>
      <c r="J13" s="33">
        <f t="shared" si="6"/>
        <v>42.549831306440808</v>
      </c>
      <c r="K13" s="45">
        <f t="shared" si="3"/>
        <v>-6.5230231723059831</v>
      </c>
      <c r="L13" s="45">
        <f t="shared" si="4"/>
        <v>-1.2499234738188729</v>
      </c>
      <c r="M13">
        <f t="shared" si="5"/>
        <v>0.10566375177237908</v>
      </c>
    </row>
    <row r="14" spans="1:13">
      <c r="A14" s="32"/>
      <c r="B14" s="33">
        <v>7.1</v>
      </c>
      <c r="C14" s="33">
        <v>87.5</v>
      </c>
      <c r="D14" s="33">
        <f t="shared" si="0"/>
        <v>621.25</v>
      </c>
      <c r="E14" s="33">
        <f t="shared" si="1"/>
        <v>50.41</v>
      </c>
      <c r="F14" s="33">
        <f t="shared" si="1"/>
        <v>7656.25</v>
      </c>
      <c r="G14" s="31"/>
      <c r="H14" s="33">
        <f t="shared" si="2"/>
        <v>85.846875151640646</v>
      </c>
      <c r="I14" s="31"/>
      <c r="J14" s="33">
        <f t="shared" si="6"/>
        <v>2.7328217642631385</v>
      </c>
      <c r="K14" s="45">
        <f t="shared" si="3"/>
        <v>1.6531248483593544</v>
      </c>
      <c r="L14" s="45">
        <f t="shared" si="4"/>
        <v>0.31676716432499841</v>
      </c>
      <c r="M14">
        <f t="shared" si="5"/>
        <v>0.62428985942046367</v>
      </c>
    </row>
    <row r="15" spans="1:13">
      <c r="A15" s="32"/>
      <c r="B15" s="33">
        <v>6.33</v>
      </c>
      <c r="C15" s="33">
        <v>87</v>
      </c>
      <c r="D15" s="33">
        <f t="shared" si="0"/>
        <v>550.71</v>
      </c>
      <c r="E15" s="33">
        <f t="shared" si="1"/>
        <v>40.068899999999999</v>
      </c>
      <c r="F15" s="33">
        <f t="shared" si="1"/>
        <v>7569</v>
      </c>
      <c r="G15" s="31"/>
      <c r="H15" s="33">
        <f t="shared" si="2"/>
        <v>78.076231807167986</v>
      </c>
      <c r="I15" s="31"/>
      <c r="J15" s="33">
        <f t="shared" si="6"/>
        <v>79.633638759400355</v>
      </c>
      <c r="K15" s="45">
        <f t="shared" si="3"/>
        <v>8.9237681928320143</v>
      </c>
      <c r="L15" s="45">
        <f t="shared" si="4"/>
        <v>1.7099475265539867</v>
      </c>
      <c r="M15">
        <f t="shared" si="5"/>
        <v>0.95636221160895074</v>
      </c>
    </row>
    <row r="16" spans="1:13">
      <c r="A16" s="32"/>
      <c r="B16" s="33">
        <v>6.76</v>
      </c>
      <c r="C16" s="33">
        <v>86.4</v>
      </c>
      <c r="D16" s="33">
        <f t="shared" si="0"/>
        <v>584.06399999999996</v>
      </c>
      <c r="E16" s="33">
        <f t="shared" si="1"/>
        <v>45.697599999999994</v>
      </c>
      <c r="F16" s="33">
        <f t="shared" si="1"/>
        <v>7464.9600000000009</v>
      </c>
      <c r="G16" s="31"/>
      <c r="H16" s="33">
        <f t="shared" si="2"/>
        <v>82.415681986548819</v>
      </c>
      <c r="I16" s="31"/>
      <c r="J16" s="33">
        <f t="shared" si="6"/>
        <v>15.874790032311612</v>
      </c>
      <c r="K16" s="45">
        <f t="shared" si="3"/>
        <v>3.9843180134511869</v>
      </c>
      <c r="L16" s="45">
        <f t="shared" si="4"/>
        <v>0.76346388486176164</v>
      </c>
      <c r="M16">
        <f t="shared" si="5"/>
        <v>0.77740660360556468</v>
      </c>
    </row>
    <row r="17" spans="1:13">
      <c r="A17" s="32"/>
      <c r="B17" s="33">
        <v>6.86</v>
      </c>
      <c r="C17" s="33">
        <v>86.4</v>
      </c>
      <c r="D17" s="33">
        <f t="shared" si="0"/>
        <v>592.70400000000006</v>
      </c>
      <c r="E17" s="33">
        <f t="shared" si="1"/>
        <v>47.059600000000003</v>
      </c>
      <c r="F17" s="33">
        <f t="shared" si="1"/>
        <v>7464.9600000000009</v>
      </c>
      <c r="G17" s="31"/>
      <c r="H17" s="33">
        <f t="shared" si="2"/>
        <v>83.424856446869953</v>
      </c>
      <c r="I17" s="31"/>
      <c r="J17" s="33">
        <f t="shared" si="6"/>
        <v>8.8514791617313158</v>
      </c>
      <c r="K17" s="45">
        <f t="shared" si="3"/>
        <v>2.975143553130053</v>
      </c>
      <c r="L17" s="45">
        <f t="shared" si="4"/>
        <v>0.57008869458354616</v>
      </c>
      <c r="M17">
        <f t="shared" si="5"/>
        <v>0.71569122868305657</v>
      </c>
    </row>
    <row r="18" spans="1:13">
      <c r="A18" s="32"/>
      <c r="B18" s="33">
        <v>7.35</v>
      </c>
      <c r="C18" s="33">
        <v>86</v>
      </c>
      <c r="D18" s="33">
        <f t="shared" si="0"/>
        <v>632.1</v>
      </c>
      <c r="E18" s="33">
        <f t="shared" si="1"/>
        <v>54.022499999999994</v>
      </c>
      <c r="F18" s="33">
        <f t="shared" si="1"/>
        <v>7396</v>
      </c>
      <c r="G18" s="31"/>
      <c r="H18" s="33">
        <f t="shared" si="2"/>
        <v>88.369811302443466</v>
      </c>
      <c r="I18" s="31"/>
      <c r="J18" s="33">
        <f t="shared" si="6"/>
        <v>5.6160056091887975</v>
      </c>
      <c r="K18" s="45">
        <f t="shared" si="3"/>
        <v>-2.3698113024434662</v>
      </c>
      <c r="L18" s="45">
        <f t="shared" si="4"/>
        <v>-0.45409662011030777</v>
      </c>
      <c r="M18">
        <f t="shared" si="5"/>
        <v>0.32487964292821669</v>
      </c>
    </row>
    <row r="19" spans="1:13">
      <c r="A19" s="32"/>
      <c r="B19" s="33">
        <v>7.22</v>
      </c>
      <c r="C19" s="33">
        <v>85.4</v>
      </c>
      <c r="D19" s="33">
        <f t="shared" si="0"/>
        <v>616.58799999999997</v>
      </c>
      <c r="E19" s="33">
        <f t="shared" si="1"/>
        <v>52.128399999999999</v>
      </c>
      <c r="F19" s="33">
        <f t="shared" si="1"/>
        <v>7293.1600000000008</v>
      </c>
      <c r="G19" s="31"/>
      <c r="H19" s="33">
        <f t="shared" si="2"/>
        <v>87.057884504026006</v>
      </c>
      <c r="I19" s="31"/>
      <c r="J19" s="33">
        <f t="shared" si="6"/>
        <v>2.748581028689538</v>
      </c>
      <c r="K19" s="45">
        <f t="shared" si="3"/>
        <v>-1.6578845040260006</v>
      </c>
      <c r="L19" s="45">
        <f t="shared" si="4"/>
        <v>-0.3176791962445375</v>
      </c>
      <c r="M19">
        <f t="shared" si="5"/>
        <v>0.37536414667722451</v>
      </c>
    </row>
    <row r="20" spans="1:13">
      <c r="A20" s="32"/>
      <c r="B20" s="33">
        <v>7.94</v>
      </c>
      <c r="C20" s="33">
        <v>84.7</v>
      </c>
      <c r="D20" s="33">
        <f t="shared" si="0"/>
        <v>672.51800000000003</v>
      </c>
      <c r="E20" s="33">
        <f t="shared" si="1"/>
        <v>63.043600000000005</v>
      </c>
      <c r="F20" s="33">
        <f t="shared" si="1"/>
        <v>7174.09</v>
      </c>
      <c r="G20" s="31"/>
      <c r="H20" s="33">
        <f t="shared" si="2"/>
        <v>94.323940618338113</v>
      </c>
      <c r="I20" s="31"/>
      <c r="J20" s="33">
        <f t="shared" si="6"/>
        <v>92.620233025298134</v>
      </c>
      <c r="K20" s="45">
        <f t="shared" si="3"/>
        <v>-9.6239406183381107</v>
      </c>
      <c r="L20" s="45">
        <f t="shared" si="4"/>
        <v>-1.8441126103262377</v>
      </c>
      <c r="M20">
        <f t="shared" si="5"/>
        <v>3.25833652593015E-2</v>
      </c>
    </row>
    <row r="21" spans="1:13">
      <c r="A21" s="32"/>
      <c r="B21" s="33">
        <v>6.41</v>
      </c>
      <c r="C21" s="33">
        <v>84.3</v>
      </c>
      <c r="D21" s="33">
        <f t="shared" si="0"/>
        <v>540.36299999999994</v>
      </c>
      <c r="E21" s="33">
        <f t="shared" si="1"/>
        <v>41.088100000000004</v>
      </c>
      <c r="F21" s="33">
        <f t="shared" si="1"/>
        <v>7106.49</v>
      </c>
      <c r="G21" s="31"/>
      <c r="H21" s="33">
        <f t="shared" si="2"/>
        <v>78.883571375424893</v>
      </c>
      <c r="I21" s="31"/>
      <c r="J21" s="33">
        <f t="shared" si="6"/>
        <v>29.337699045116555</v>
      </c>
      <c r="K21" s="45">
        <f t="shared" si="3"/>
        <v>5.4164286245751043</v>
      </c>
      <c r="L21" s="45">
        <f t="shared" si="4"/>
        <v>1.0378809185998275</v>
      </c>
      <c r="M21">
        <f t="shared" si="5"/>
        <v>0.85033725094911183</v>
      </c>
    </row>
    <row r="22" spans="1:13">
      <c r="A22" s="32"/>
      <c r="B22" s="33">
        <v>6.77</v>
      </c>
      <c r="C22" s="33">
        <v>81.7</v>
      </c>
      <c r="D22" s="33">
        <f t="shared" si="0"/>
        <v>553.10900000000004</v>
      </c>
      <c r="E22" s="33">
        <f t="shared" si="1"/>
        <v>45.832899999999995</v>
      </c>
      <c r="F22" s="33">
        <f t="shared" si="1"/>
        <v>6674.89</v>
      </c>
      <c r="G22" s="31"/>
      <c r="H22" s="33">
        <f t="shared" si="2"/>
        <v>82.516599432580932</v>
      </c>
      <c r="I22" s="31"/>
      <c r="J22" s="33">
        <f t="shared" si="6"/>
        <v>0.66683463329149584</v>
      </c>
      <c r="K22" s="45">
        <f t="shared" si="3"/>
        <v>-0.81659943258092937</v>
      </c>
      <c r="L22" s="45">
        <f t="shared" si="4"/>
        <v>-0.15647450155067411</v>
      </c>
      <c r="M22">
        <f t="shared" si="5"/>
        <v>0.43782950823805067</v>
      </c>
    </row>
    <row r="23" spans="1:13">
      <c r="A23" s="32"/>
      <c r="B23" s="33">
        <v>6.65</v>
      </c>
      <c r="C23" s="33">
        <v>81</v>
      </c>
      <c r="D23" s="33">
        <f t="shared" si="0"/>
        <v>538.65</v>
      </c>
      <c r="E23" s="33">
        <f t="shared" si="1"/>
        <v>44.222500000000004</v>
      </c>
      <c r="F23" s="33">
        <f t="shared" si="1"/>
        <v>6561</v>
      </c>
      <c r="G23" s="31"/>
      <c r="H23" s="33">
        <f t="shared" si="2"/>
        <v>81.305590080195586</v>
      </c>
      <c r="I23" s="31"/>
      <c r="J23" s="33">
        <f t="shared" si="6"/>
        <v>9.338529711394454E-2</v>
      </c>
      <c r="K23" s="45">
        <f t="shared" si="3"/>
        <v>-0.30559008019558576</v>
      </c>
      <c r="L23" s="45">
        <f t="shared" si="4"/>
        <v>-5.8556317295378336E-2</v>
      </c>
      <c r="M23">
        <f t="shared" si="5"/>
        <v>0.47665275234643867</v>
      </c>
    </row>
    <row r="24" spans="1:13" ht="15" customHeight="1">
      <c r="A24" s="32"/>
      <c r="B24" s="33">
        <v>6.94</v>
      </c>
      <c r="C24" s="33">
        <v>80.3</v>
      </c>
      <c r="D24" s="33">
        <f t="shared" si="0"/>
        <v>557.28200000000004</v>
      </c>
      <c r="E24" s="33">
        <f t="shared" si="1"/>
        <v>48.163600000000002</v>
      </c>
      <c r="F24" s="33">
        <f t="shared" si="1"/>
        <v>6448.0899999999992</v>
      </c>
      <c r="G24" s="31"/>
      <c r="H24" s="33">
        <f t="shared" si="2"/>
        <v>84.23219601512686</v>
      </c>
      <c r="I24" s="31"/>
      <c r="J24" s="33">
        <f t="shared" si="6"/>
        <v>15.462165501379578</v>
      </c>
      <c r="K24" s="45">
        <f t="shared" si="3"/>
        <v>-3.9321960151268627</v>
      </c>
      <c r="L24" s="45">
        <f t="shared" si="4"/>
        <v>-0.75347641318076042</v>
      </c>
      <c r="M24">
        <f t="shared" si="5"/>
        <v>0.22558183992555547</v>
      </c>
    </row>
    <row r="25" spans="1:13">
      <c r="A25" s="32"/>
      <c r="B25" s="33">
        <v>6.45</v>
      </c>
      <c r="C25" s="33">
        <v>80.2</v>
      </c>
      <c r="D25" s="33">
        <f t="shared" si="0"/>
        <v>517.29000000000008</v>
      </c>
      <c r="E25" s="33">
        <f t="shared" si="1"/>
        <v>41.602499999999999</v>
      </c>
      <c r="F25" s="33">
        <f t="shared" si="1"/>
        <v>6432.0400000000009</v>
      </c>
      <c r="G25" s="31"/>
      <c r="H25" s="33">
        <f t="shared" si="2"/>
        <v>79.287241159553332</v>
      </c>
      <c r="I25" s="31"/>
      <c r="J25" s="33">
        <f t="shared" si="6"/>
        <v>0.83312870081355084</v>
      </c>
      <c r="K25" s="45">
        <f t="shared" si="3"/>
        <v>0.91275884044667066</v>
      </c>
      <c r="L25" s="45">
        <f t="shared" si="4"/>
        <v>0.17490029859983952</v>
      </c>
      <c r="M25">
        <f t="shared" si="5"/>
        <v>0.56942101217897956</v>
      </c>
    </row>
    <row r="26" spans="1:13" ht="15" customHeight="1">
      <c r="A26" s="32"/>
      <c r="B26" s="33">
        <v>7.04</v>
      </c>
      <c r="C26" s="33">
        <v>80.099999999999994</v>
      </c>
      <c r="D26" s="33">
        <f t="shared" si="0"/>
        <v>563.904</v>
      </c>
      <c r="E26" s="33">
        <f t="shared" si="1"/>
        <v>49.561599999999999</v>
      </c>
      <c r="F26" s="33">
        <f t="shared" si="1"/>
        <v>6416.0099999999993</v>
      </c>
      <c r="G26" s="31"/>
      <c r="H26" s="33">
        <f t="shared" si="2"/>
        <v>85.24137047544798</v>
      </c>
      <c r="I26" s="31"/>
      <c r="J26" s="33">
        <f t="shared" si="6"/>
        <v>26.433690365808243</v>
      </c>
      <c r="K26" s="45">
        <f t="shared" si="3"/>
        <v>-5.1413704754479852</v>
      </c>
      <c r="L26" s="45">
        <f t="shared" si="4"/>
        <v>-0.9851750446242763</v>
      </c>
      <c r="M26">
        <f t="shared" si="5"/>
        <v>0.16226904822628363</v>
      </c>
    </row>
    <row r="27" spans="1:13">
      <c r="A27" s="32"/>
      <c r="B27" s="33">
        <v>6.39</v>
      </c>
      <c r="C27" s="33">
        <v>79.599999999999994</v>
      </c>
      <c r="D27" s="33">
        <f t="shared" si="0"/>
        <v>508.64399999999995</v>
      </c>
      <c r="E27" s="33">
        <f t="shared" si="1"/>
        <v>40.832099999999997</v>
      </c>
      <c r="F27" s="33">
        <f t="shared" si="1"/>
        <v>6336.1599999999989</v>
      </c>
      <c r="G27" s="31"/>
      <c r="H27" s="33">
        <f t="shared" si="2"/>
        <v>78.681736483360652</v>
      </c>
      <c r="I27" s="31"/>
      <c r="J27" s="33">
        <f t="shared" si="6"/>
        <v>0.84320788599085195</v>
      </c>
      <c r="K27" s="45">
        <f t="shared" si="3"/>
        <v>0.91826351663934247</v>
      </c>
      <c r="L27" s="45">
        <f t="shared" si="4"/>
        <v>0.17595508927085904</v>
      </c>
      <c r="M27">
        <f t="shared" si="5"/>
        <v>0.56983538727559202</v>
      </c>
    </row>
    <row r="28" spans="1:13">
      <c r="A28" s="32"/>
      <c r="B28" s="33">
        <v>6.58</v>
      </c>
      <c r="C28" s="33">
        <v>77.099999999999994</v>
      </c>
      <c r="D28" s="33">
        <f t="shared" si="0"/>
        <v>507.31799999999998</v>
      </c>
      <c r="E28" s="33">
        <f t="shared" si="1"/>
        <v>43.296399999999998</v>
      </c>
      <c r="F28" s="33">
        <f t="shared" si="1"/>
        <v>5944.4099999999989</v>
      </c>
      <c r="G28" s="31"/>
      <c r="H28" s="33">
        <f t="shared" si="2"/>
        <v>80.599167957970806</v>
      </c>
      <c r="I28" s="31"/>
      <c r="J28" s="33">
        <f t="shared" si="6"/>
        <v>12.244176398089621</v>
      </c>
      <c r="K28" s="45">
        <f t="shared" si="3"/>
        <v>-3.4991679579708119</v>
      </c>
      <c r="L28" s="45">
        <f t="shared" si="4"/>
        <v>-0.67050078682403413</v>
      </c>
      <c r="M28">
        <f t="shared" si="5"/>
        <v>0.25126930251802282</v>
      </c>
    </row>
    <row r="29" spans="1:13">
      <c r="A29" s="32"/>
      <c r="B29" s="33">
        <v>6.21</v>
      </c>
      <c r="C29" s="33">
        <v>76</v>
      </c>
      <c r="D29" s="33">
        <f t="shared" si="0"/>
        <v>471.96</v>
      </c>
      <c r="E29" s="33">
        <f t="shared" si="1"/>
        <v>38.564099999999996</v>
      </c>
      <c r="F29" s="33">
        <f t="shared" si="1"/>
        <v>5776</v>
      </c>
      <c r="G29" s="31"/>
      <c r="H29" s="33">
        <f t="shared" si="2"/>
        <v>76.865222454782639</v>
      </c>
      <c r="I29" s="31"/>
      <c r="J29" s="33">
        <f t="shared" si="6"/>
        <v>0.74860989626009622</v>
      </c>
      <c r="K29" s="45">
        <f t="shared" si="3"/>
        <v>-0.86522245478263926</v>
      </c>
      <c r="L29" s="45">
        <f t="shared" si="4"/>
        <v>-0.16579150920380628</v>
      </c>
      <c r="M29">
        <f t="shared" si="5"/>
        <v>0.43416051416140111</v>
      </c>
    </row>
    <row r="30" spans="1:13">
      <c r="A30" s="32"/>
      <c r="B30" s="33">
        <v>7.17</v>
      </c>
      <c r="C30" s="33">
        <v>73.7</v>
      </c>
      <c r="D30" s="33">
        <f t="shared" si="0"/>
        <v>528.42899999999997</v>
      </c>
      <c r="E30" s="33">
        <f t="shared" si="1"/>
        <v>51.408899999999996</v>
      </c>
      <c r="F30" s="33">
        <f t="shared" si="1"/>
        <v>5431.6900000000005</v>
      </c>
      <c r="G30" s="31"/>
      <c r="H30" s="33">
        <f t="shared" si="2"/>
        <v>86.553297273865439</v>
      </c>
      <c r="I30" s="31"/>
      <c r="J30" s="33">
        <f t="shared" si="6"/>
        <v>165.20725081035667</v>
      </c>
      <c r="K30" s="45">
        <f t="shared" si="3"/>
        <v>-12.853297273865437</v>
      </c>
      <c r="L30" s="45">
        <f t="shared" si="4"/>
        <v>-2.4629129092756386</v>
      </c>
      <c r="M30">
        <f t="shared" si="5"/>
        <v>6.8906693219477066E-3</v>
      </c>
    </row>
    <row r="31" spans="1:13">
      <c r="A31" s="32"/>
      <c r="B31" s="33">
        <v>6.34</v>
      </c>
      <c r="C31" s="33">
        <v>72.599999999999994</v>
      </c>
      <c r="D31" s="33">
        <f t="shared" si="0"/>
        <v>460.28399999999993</v>
      </c>
      <c r="E31" s="33">
        <f t="shared" si="1"/>
        <v>40.195599999999999</v>
      </c>
      <c r="F31" s="33">
        <f t="shared" si="1"/>
        <v>5270.7599999999993</v>
      </c>
      <c r="G31" s="31"/>
      <c r="H31" s="33">
        <f t="shared" si="2"/>
        <v>78.177149253200099</v>
      </c>
      <c r="I31" s="31"/>
      <c r="J31" s="33">
        <f t="shared" si="6"/>
        <v>31.104593792470485</v>
      </c>
      <c r="K31" s="45">
        <f t="shared" si="3"/>
        <v>-5.5771492532001048</v>
      </c>
      <c r="L31" s="45">
        <f t="shared" si="4"/>
        <v>-1.0686777563756307</v>
      </c>
      <c r="M31">
        <f t="shared" si="5"/>
        <v>0.14260744894404698</v>
      </c>
    </row>
    <row r="32" spans="1:13">
      <c r="A32" s="32"/>
      <c r="B32" s="33">
        <v>6.18</v>
      </c>
      <c r="C32" s="33">
        <v>71.400000000000006</v>
      </c>
      <c r="D32" s="33">
        <f t="shared" si="0"/>
        <v>441.25200000000001</v>
      </c>
      <c r="E32" s="33">
        <f t="shared" si="1"/>
        <v>38.192399999999999</v>
      </c>
      <c r="F32" s="33">
        <f t="shared" si="1"/>
        <v>5097.9600000000009</v>
      </c>
      <c r="G32" s="31"/>
      <c r="H32" s="33">
        <f t="shared" si="2"/>
        <v>76.562470116686285</v>
      </c>
      <c r="I32" s="31"/>
      <c r="J32" s="33">
        <f t="shared" si="6"/>
        <v>26.651097705678843</v>
      </c>
      <c r="K32" s="45">
        <f t="shared" si="3"/>
        <v>-5.1624701166862792</v>
      </c>
      <c r="L32" s="45">
        <f t="shared" si="4"/>
        <v>-0.98921809892230017</v>
      </c>
      <c r="M32">
        <f t="shared" si="5"/>
        <v>0.16127822254850399</v>
      </c>
    </row>
    <row r="33" spans="1:13">
      <c r="A33" s="32"/>
      <c r="B33" s="33">
        <v>5.12</v>
      </c>
      <c r="C33" s="33">
        <v>70</v>
      </c>
      <c r="D33" s="33">
        <f t="shared" si="0"/>
        <v>358.40000000000003</v>
      </c>
      <c r="E33" s="33">
        <f t="shared" si="1"/>
        <v>26.214400000000001</v>
      </c>
      <c r="F33" s="33">
        <f t="shared" si="1"/>
        <v>4900</v>
      </c>
      <c r="G33" s="31"/>
      <c r="H33" s="33">
        <f t="shared" si="2"/>
        <v>65.865220837282379</v>
      </c>
      <c r="I33" s="31"/>
      <c r="J33" s="33">
        <f t="shared" si="6"/>
        <v>17.09639872444383</v>
      </c>
      <c r="K33" s="45">
        <f t="shared" si="3"/>
        <v>4.1347791627176207</v>
      </c>
      <c r="L33" s="45">
        <f t="shared" si="4"/>
        <v>0.79229482986964161</v>
      </c>
      <c r="M33">
        <f t="shared" si="5"/>
        <v>0.78590560719476199</v>
      </c>
    </row>
    <row r="34" spans="1:13">
      <c r="A34" s="32"/>
      <c r="B34" s="33">
        <v>5.71</v>
      </c>
      <c r="C34" s="33">
        <v>66.5</v>
      </c>
      <c r="D34" s="33">
        <f t="shared" si="0"/>
        <v>379.71499999999997</v>
      </c>
      <c r="E34" s="33">
        <f t="shared" si="1"/>
        <v>32.604100000000003</v>
      </c>
      <c r="F34" s="33">
        <f t="shared" si="1"/>
        <v>4422.25</v>
      </c>
      <c r="G34" s="31"/>
      <c r="H34" s="33">
        <f t="shared" si="2"/>
        <v>71.819350153176998</v>
      </c>
      <c r="I34" s="31"/>
      <c r="J34" s="33">
        <f t="shared" si="6"/>
        <v>28.295486052104156</v>
      </c>
      <c r="K34" s="45">
        <f t="shared" si="3"/>
        <v>-5.3193501531769982</v>
      </c>
      <c r="L34" s="45">
        <f t="shared" si="4"/>
        <v>-1.0192790131646132</v>
      </c>
      <c r="M34">
        <f t="shared" si="5"/>
        <v>0.15403526225485242</v>
      </c>
    </row>
    <row r="35" spans="1:13">
      <c r="A35" s="46" t="s">
        <v>102</v>
      </c>
      <c r="B35" s="46">
        <f t="shared" ref="B35:F35" si="7">SUM(B3:B34)</f>
        <v>223.93</v>
      </c>
      <c r="C35" s="46">
        <f t="shared" si="7"/>
        <v>2714.1</v>
      </c>
      <c r="D35" s="46">
        <f t="shared" si="7"/>
        <v>19158.489000000001</v>
      </c>
      <c r="E35" s="46">
        <f t="shared" si="7"/>
        <v>1583.4421000000002</v>
      </c>
      <c r="F35" s="46">
        <f t="shared" si="7"/>
        <v>232687.61000000004</v>
      </c>
      <c r="G35" s="47"/>
      <c r="H35" s="47"/>
      <c r="I35" s="47"/>
      <c r="J35" s="46">
        <f>SUM(J3:J34)</f>
        <v>817.05677528718707</v>
      </c>
      <c r="K35" s="47"/>
      <c r="L35" s="47"/>
    </row>
    <row r="36" spans="1:13" ht="33.75" customHeight="1">
      <c r="A36" s="34"/>
      <c r="B36" s="34"/>
      <c r="C36" s="34"/>
      <c r="D36" s="34"/>
      <c r="E36" s="34"/>
      <c r="F36" s="34"/>
      <c r="G36" s="31"/>
      <c r="H36" s="31"/>
      <c r="I36" s="31"/>
      <c r="J36" s="31"/>
    </row>
    <row r="37" spans="1:13" ht="33.75" customHeight="1">
      <c r="A37" s="34"/>
      <c r="B37" s="34"/>
      <c r="C37" s="34"/>
      <c r="D37" s="34"/>
      <c r="E37" s="34"/>
      <c r="F37" s="34"/>
      <c r="G37" s="31"/>
      <c r="H37" s="31"/>
      <c r="I37" s="31"/>
      <c r="J37" s="31"/>
    </row>
    <row r="38" spans="1:13" ht="33.75" customHeight="1">
      <c r="A38" s="34"/>
      <c r="B38" s="34"/>
      <c r="C38" s="34"/>
      <c r="D38" s="34"/>
      <c r="E38" s="34"/>
      <c r="F38" s="34"/>
      <c r="G38" s="31"/>
      <c r="H38" s="31"/>
      <c r="I38" s="31"/>
      <c r="J38" s="31"/>
    </row>
    <row r="39" spans="1:13" ht="33.75" customHeight="1">
      <c r="A39" s="34"/>
      <c r="B39" s="34"/>
      <c r="C39" s="34"/>
      <c r="D39" s="34"/>
      <c r="E39" s="34"/>
      <c r="F39" s="34"/>
      <c r="G39" s="31"/>
      <c r="H39" s="31"/>
      <c r="I39" s="31"/>
      <c r="J39" s="31"/>
    </row>
    <row r="40" spans="1:13" ht="33.75" customHeight="1">
      <c r="A40" s="34"/>
      <c r="B40" s="35"/>
      <c r="C40" s="35"/>
      <c r="D40" s="35"/>
      <c r="E40" s="35"/>
      <c r="F40" s="35"/>
      <c r="G40" s="31"/>
      <c r="H40" s="31"/>
      <c r="I40" s="31"/>
      <c r="J40" s="31"/>
    </row>
    <row r="41" spans="1:13" ht="33.75" customHeight="1">
      <c r="A41" s="34"/>
      <c r="B41" s="35"/>
      <c r="C41" s="35"/>
      <c r="D41" s="35"/>
      <c r="E41" s="35"/>
      <c r="F41" s="35"/>
      <c r="G41" s="31"/>
      <c r="H41" s="31"/>
      <c r="I41" s="31"/>
      <c r="J41" s="31"/>
    </row>
    <row r="42" spans="1:13" ht="33.75" customHeight="1">
      <c r="A42" s="34"/>
      <c r="B42" s="35"/>
      <c r="C42" s="35"/>
      <c r="D42" s="35"/>
      <c r="E42" s="35"/>
      <c r="F42" s="35"/>
      <c r="G42" s="31"/>
      <c r="H42" s="31"/>
      <c r="I42" s="31"/>
      <c r="J42" s="31"/>
    </row>
    <row r="43" spans="1:13">
      <c r="A43" s="36" t="s">
        <v>1</v>
      </c>
      <c r="B43" s="37">
        <v>32</v>
      </c>
      <c r="C43" s="31"/>
      <c r="D43" s="31"/>
      <c r="E43" s="31"/>
      <c r="F43" s="31"/>
      <c r="G43" s="31"/>
      <c r="H43" s="31"/>
      <c r="I43" s="31"/>
      <c r="J43" s="31"/>
    </row>
    <row r="44" spans="1:13" ht="18">
      <c r="A44" s="36" t="s">
        <v>2</v>
      </c>
      <c r="B44" s="38">
        <f>SUM(C3:C34)</f>
        <v>2714.1</v>
      </c>
      <c r="C44" s="31"/>
      <c r="D44" s="31"/>
      <c r="E44" s="31"/>
      <c r="F44" s="31"/>
      <c r="G44" s="31"/>
      <c r="H44" s="31"/>
      <c r="I44" s="31"/>
      <c r="J44" s="31"/>
    </row>
    <row r="45" spans="1:13" ht="18">
      <c r="A45" s="36" t="s">
        <v>3</v>
      </c>
      <c r="B45" s="38">
        <f>SUM(F3:F34)</f>
        <v>232687.61000000004</v>
      </c>
      <c r="C45" s="31"/>
      <c r="D45" s="31"/>
      <c r="E45" s="31"/>
      <c r="F45" s="31"/>
      <c r="G45" s="31"/>
      <c r="H45" s="31"/>
      <c r="I45" s="31"/>
      <c r="J45" s="31"/>
    </row>
    <row r="46" spans="1:13" ht="18">
      <c r="A46" s="36" t="s">
        <v>4</v>
      </c>
      <c r="B46" s="38">
        <f>SUM(B3:B34)</f>
        <v>223.93</v>
      </c>
      <c r="C46" s="31"/>
      <c r="D46" s="31"/>
      <c r="E46" s="31"/>
      <c r="F46" s="31"/>
      <c r="G46" s="31"/>
      <c r="H46" s="31"/>
      <c r="I46" s="31"/>
      <c r="J46" s="31"/>
    </row>
    <row r="47" spans="1:13" ht="18">
      <c r="A47" s="36" t="s">
        <v>5</v>
      </c>
      <c r="B47" s="38">
        <f>SUM(E3:E34)</f>
        <v>1583.4421000000002</v>
      </c>
      <c r="C47" s="31"/>
      <c r="D47" s="31"/>
      <c r="E47" s="31"/>
      <c r="F47" s="31"/>
      <c r="G47" s="31"/>
      <c r="H47" s="31"/>
      <c r="I47" s="31"/>
      <c r="J47" s="31"/>
    </row>
    <row r="48" spans="1:13" ht="18">
      <c r="A48" s="36" t="s">
        <v>13</v>
      </c>
      <c r="B48" s="38">
        <f>SUM(D3:D34)</f>
        <v>19158.489000000001</v>
      </c>
      <c r="C48" s="31"/>
      <c r="D48" s="31"/>
      <c r="E48" s="31"/>
      <c r="F48" s="31"/>
      <c r="G48" s="39"/>
      <c r="H48" s="31"/>
      <c r="I48" s="31"/>
      <c r="J48" s="31"/>
    </row>
    <row r="49" spans="1:10">
      <c r="A49" s="36" t="s">
        <v>6</v>
      </c>
      <c r="B49" s="31"/>
      <c r="C49" s="31"/>
      <c r="D49" s="31"/>
      <c r="E49" s="31"/>
      <c r="F49" s="31"/>
      <c r="G49" s="31"/>
      <c r="H49" s="31"/>
      <c r="I49" s="31"/>
      <c r="J49" s="31"/>
    </row>
    <row r="50" spans="1:10" ht="18">
      <c r="A50" s="77" t="s">
        <v>7</v>
      </c>
      <c r="B50" s="78" t="s">
        <v>10</v>
      </c>
      <c r="C50" s="40" t="s">
        <v>8</v>
      </c>
      <c r="D50" s="79" t="s">
        <v>36</v>
      </c>
      <c r="E50" s="79"/>
      <c r="F50" s="79"/>
      <c r="G50" s="79"/>
      <c r="H50" s="79"/>
      <c r="I50" s="79"/>
      <c r="J50" s="79">
        <f>B47-(B46^2)/B43</f>
        <v>16.421946875000003</v>
      </c>
    </row>
    <row r="51" spans="1:10">
      <c r="A51" s="77"/>
      <c r="B51" s="78"/>
      <c r="C51" s="38" t="s">
        <v>9</v>
      </c>
      <c r="D51" s="79"/>
      <c r="E51" s="79"/>
      <c r="F51" s="79"/>
      <c r="G51" s="79"/>
      <c r="H51" s="79"/>
      <c r="I51" s="79"/>
      <c r="J51" s="79"/>
    </row>
    <row r="52" spans="1:10" ht="18">
      <c r="A52" s="77" t="s">
        <v>12</v>
      </c>
      <c r="B52" s="78" t="s">
        <v>15</v>
      </c>
      <c r="C52" s="41" t="s">
        <v>14</v>
      </c>
      <c r="D52" s="79" t="s">
        <v>68</v>
      </c>
      <c r="E52" s="79"/>
      <c r="F52" s="79"/>
      <c r="G52" s="79"/>
      <c r="H52" s="79"/>
      <c r="I52" s="79"/>
      <c r="J52" s="79">
        <f>B48-B46*B44/B43</f>
        <v>165.7260937500032</v>
      </c>
    </row>
    <row r="53" spans="1:10">
      <c r="A53" s="77"/>
      <c r="B53" s="78"/>
      <c r="C53" s="38" t="s">
        <v>9</v>
      </c>
      <c r="D53" s="79"/>
      <c r="E53" s="79"/>
      <c r="F53" s="79"/>
      <c r="G53" s="79"/>
      <c r="H53" s="79"/>
      <c r="I53" s="79"/>
      <c r="J53" s="79"/>
    </row>
    <row r="54" spans="1:10">
      <c r="A54" s="36"/>
      <c r="B54" s="31"/>
      <c r="C54" s="31"/>
      <c r="D54" s="31"/>
      <c r="E54" s="31"/>
      <c r="F54" s="31"/>
      <c r="G54" s="31"/>
      <c r="H54" s="31"/>
      <c r="I54" s="31"/>
      <c r="J54" s="31"/>
    </row>
    <row r="55" spans="1:10" ht="18.75">
      <c r="A55" s="36" t="s">
        <v>21</v>
      </c>
      <c r="B55" s="38" t="s">
        <v>17</v>
      </c>
      <c r="C55" s="31" t="s">
        <v>69</v>
      </c>
      <c r="D55" s="31"/>
      <c r="E55" s="31"/>
      <c r="F55" s="31">
        <f>J52/J50</f>
        <v>10.091744603211254</v>
      </c>
      <c r="G55" s="31"/>
      <c r="H55" s="31"/>
      <c r="I55" s="31"/>
      <c r="J55" s="31"/>
    </row>
    <row r="56" spans="1:10">
      <c r="A56" s="36" t="s">
        <v>19</v>
      </c>
      <c r="B56" s="31"/>
      <c r="C56" s="31"/>
      <c r="D56" s="31"/>
      <c r="E56" s="31"/>
      <c r="F56" s="31"/>
      <c r="G56" s="31"/>
      <c r="H56" s="31"/>
      <c r="I56" s="31"/>
      <c r="J56" s="31"/>
    </row>
    <row r="57" spans="1:10" ht="18.75">
      <c r="A57" s="36" t="s">
        <v>20</v>
      </c>
      <c r="B57" s="42" t="s">
        <v>22</v>
      </c>
      <c r="C57" s="31" t="s">
        <v>72</v>
      </c>
      <c r="D57" s="31"/>
      <c r="E57" s="31"/>
      <c r="F57" s="31"/>
      <c r="G57" s="31"/>
      <c r="H57" s="31">
        <f>B44/B43-F55*(B46/B43)</f>
        <v>14.19548846884075</v>
      </c>
      <c r="I57" s="31"/>
      <c r="J57" s="31"/>
    </row>
    <row r="58" spans="1:10">
      <c r="A58" s="36"/>
      <c r="B58" s="31"/>
      <c r="C58" s="31"/>
      <c r="D58" s="31"/>
      <c r="E58" s="31"/>
      <c r="F58" s="31"/>
      <c r="G58" s="31"/>
      <c r="H58" s="31"/>
      <c r="I58" s="31"/>
      <c r="J58" s="31"/>
    </row>
    <row r="59" spans="1:10" ht="15.75">
      <c r="A59" s="43" t="s">
        <v>24</v>
      </c>
      <c r="B59" s="31" t="s">
        <v>70</v>
      </c>
      <c r="C59" s="31"/>
      <c r="D59" s="31"/>
      <c r="E59" s="31"/>
      <c r="F59" s="31"/>
      <c r="G59" s="31"/>
      <c r="H59" s="31"/>
      <c r="I59" s="31"/>
      <c r="J59" s="31"/>
    </row>
    <row r="60" spans="1:10" ht="18.75">
      <c r="A60" s="36" t="s">
        <v>54</v>
      </c>
      <c r="B60" s="31" t="s">
        <v>71</v>
      </c>
      <c r="C60" s="31" t="s">
        <v>75</v>
      </c>
      <c r="D60" s="31"/>
      <c r="E60" s="31">
        <f>817.0568/30</f>
        <v>27.235226666666666</v>
      </c>
      <c r="F60" s="31"/>
      <c r="G60" s="31"/>
      <c r="H60" s="31"/>
      <c r="I60" s="31"/>
      <c r="J60" s="31"/>
    </row>
    <row r="61" spans="1:10" ht="15.75">
      <c r="A61" s="43"/>
      <c r="B61" s="31"/>
      <c r="C61" s="31"/>
      <c r="D61" s="31"/>
      <c r="E61" s="31"/>
      <c r="F61" s="31"/>
      <c r="G61" s="31"/>
      <c r="H61" s="31"/>
      <c r="I61" s="31"/>
      <c r="J61" s="31"/>
    </row>
    <row r="62" spans="1:10">
      <c r="A62" s="36" t="s">
        <v>26</v>
      </c>
      <c r="B62" s="31"/>
      <c r="C62" s="31"/>
      <c r="D62" s="31"/>
      <c r="E62" s="31"/>
      <c r="F62" s="31"/>
      <c r="G62" s="31"/>
      <c r="H62" s="31"/>
      <c r="I62" s="31"/>
      <c r="J62" s="31"/>
    </row>
    <row r="63" spans="1:10">
      <c r="A63" s="36" t="s">
        <v>37</v>
      </c>
      <c r="B63" s="37">
        <v>7.5</v>
      </c>
      <c r="C63" s="31"/>
      <c r="D63" s="31"/>
      <c r="E63" s="31"/>
      <c r="F63" s="31"/>
      <c r="G63" s="31"/>
      <c r="H63" s="31"/>
      <c r="I63" s="31"/>
      <c r="J63" s="31"/>
    </row>
    <row r="64" spans="1:10" ht="15.75">
      <c r="A64" s="43" t="s">
        <v>24</v>
      </c>
      <c r="B64" s="31" t="s">
        <v>73</v>
      </c>
      <c r="C64" s="31"/>
      <c r="D64" s="31"/>
      <c r="E64" s="31">
        <f>H57+F55*B63</f>
        <v>89.883572992925153</v>
      </c>
      <c r="F64" s="31"/>
      <c r="G64" s="31"/>
      <c r="H64" s="31"/>
      <c r="I64" s="31"/>
      <c r="J64" s="31"/>
    </row>
    <row r="65" spans="1:10">
      <c r="A65" s="36" t="s">
        <v>30</v>
      </c>
      <c r="B65" s="31"/>
      <c r="C65" s="31"/>
      <c r="D65" s="31"/>
      <c r="E65" s="31"/>
      <c r="F65" s="31"/>
      <c r="G65" s="31"/>
      <c r="H65" s="31"/>
      <c r="I65" s="31"/>
      <c r="J65" s="31"/>
    </row>
    <row r="66" spans="1:10">
      <c r="A66" s="28" t="s">
        <v>76</v>
      </c>
      <c r="B66" s="28"/>
      <c r="C66" s="28"/>
      <c r="D66" s="28"/>
      <c r="E66" s="28"/>
      <c r="F66" s="28"/>
      <c r="G66" s="28"/>
      <c r="H66" s="28"/>
      <c r="I66" s="28"/>
      <c r="J66" s="28"/>
    </row>
    <row r="67" spans="1:10">
      <c r="A67" s="36" t="s">
        <v>33</v>
      </c>
      <c r="B67" s="31"/>
      <c r="C67" s="31"/>
      <c r="D67" s="31"/>
      <c r="E67" s="31"/>
      <c r="F67" s="31"/>
      <c r="G67" s="31"/>
      <c r="H67" s="31"/>
      <c r="I67" s="31"/>
      <c r="J67" s="31"/>
    </row>
    <row r="68" spans="1:10">
      <c r="A68" s="76" t="s">
        <v>74</v>
      </c>
      <c r="B68" s="76"/>
      <c r="C68" s="31">
        <f>10/10.0917</f>
        <v>0.99091332481147876</v>
      </c>
      <c r="D68" s="31"/>
      <c r="E68" s="31"/>
      <c r="F68" s="31"/>
      <c r="G68" s="31"/>
      <c r="H68" s="31"/>
      <c r="I68" s="31"/>
      <c r="J68" s="31"/>
    </row>
    <row r="69" spans="1:10">
      <c r="A69" s="28" t="s">
        <v>38</v>
      </c>
      <c r="B69" s="28"/>
      <c r="C69" s="28"/>
      <c r="D69" s="28"/>
      <c r="E69" s="28"/>
      <c r="F69" s="28"/>
      <c r="G69" s="28"/>
      <c r="H69" s="28"/>
      <c r="I69" s="31"/>
      <c r="J69" s="31"/>
    </row>
    <row r="70" spans="1:10">
      <c r="A70" s="36" t="s">
        <v>39</v>
      </c>
      <c r="B70" s="31"/>
      <c r="C70" s="31"/>
      <c r="D70" s="31"/>
      <c r="E70" s="31"/>
      <c r="F70" s="31"/>
      <c r="G70" s="31"/>
      <c r="H70" s="31"/>
      <c r="I70" s="31"/>
      <c r="J70" s="31"/>
    </row>
    <row r="71" spans="1:10" ht="15.75">
      <c r="A71" s="43" t="s">
        <v>24</v>
      </c>
      <c r="B71" s="31" t="s">
        <v>77</v>
      </c>
      <c r="C71" s="31"/>
      <c r="D71" s="31"/>
      <c r="E71" s="31">
        <f>H57+F55*7.21</f>
        <v>86.956967057993893</v>
      </c>
      <c r="F71" s="31"/>
      <c r="G71" s="31"/>
      <c r="H71" s="31"/>
      <c r="I71" s="31"/>
      <c r="J71" s="31"/>
    </row>
    <row r="72" spans="1:10" ht="18">
      <c r="A72" s="36"/>
      <c r="B72" s="38" t="s">
        <v>78</v>
      </c>
      <c r="C72" s="38" t="s">
        <v>79</v>
      </c>
      <c r="D72" s="37" t="s">
        <v>81</v>
      </c>
      <c r="E72" s="31"/>
      <c r="F72" s="31"/>
      <c r="G72" s="31"/>
      <c r="H72" s="31">
        <f>(90.2-E71)</f>
        <v>3.2430329420061099</v>
      </c>
      <c r="I72" s="31"/>
      <c r="J72" s="31"/>
    </row>
    <row r="73" spans="1:10" ht="18">
      <c r="A73" s="36"/>
      <c r="B73" s="38" t="s">
        <v>78</v>
      </c>
      <c r="C73" s="38" t="s">
        <v>79</v>
      </c>
      <c r="D73" s="37" t="s">
        <v>80</v>
      </c>
      <c r="E73" s="31"/>
      <c r="F73" s="31"/>
      <c r="G73" s="31"/>
      <c r="H73" s="31">
        <f>(95-E71)</f>
        <v>8.0430329420061071</v>
      </c>
      <c r="I73" s="31"/>
      <c r="J73" s="31"/>
    </row>
    <row r="74" spans="1:10">
      <c r="A74" s="48" t="s">
        <v>103</v>
      </c>
      <c r="B74" s="48"/>
    </row>
    <row r="75" spans="1:10">
      <c r="A75" s="48" t="s">
        <v>6</v>
      </c>
    </row>
    <row r="76" spans="1:10" ht="18">
      <c r="A76" s="23" t="s">
        <v>98</v>
      </c>
      <c r="B76" t="s">
        <v>104</v>
      </c>
      <c r="D76" t="s">
        <v>29</v>
      </c>
      <c r="E76" t="s">
        <v>108</v>
      </c>
      <c r="J76">
        <f>1-(J35/(J35+F55*J52))</f>
        <v>0.67180177007875486</v>
      </c>
    </row>
    <row r="77" spans="1:10">
      <c r="A77" s="12" t="s">
        <v>99</v>
      </c>
      <c r="B77" s="12"/>
      <c r="C77" s="12"/>
      <c r="D77" s="12"/>
      <c r="E77" s="12"/>
      <c r="F77" s="12"/>
      <c r="G77" s="12"/>
      <c r="H77" s="12"/>
      <c r="I77" s="12"/>
      <c r="J77" s="12"/>
    </row>
    <row r="78" spans="1:10">
      <c r="A78" s="64" t="s">
        <v>107</v>
      </c>
      <c r="B78" s="64"/>
      <c r="C78" s="64"/>
      <c r="D78" s="64"/>
      <c r="E78" s="64"/>
      <c r="F78" s="64"/>
      <c r="G78" s="64"/>
      <c r="H78" s="64"/>
      <c r="I78" s="64"/>
      <c r="J78" s="64"/>
    </row>
    <row r="92" spans="1:1">
      <c r="A92" s="48" t="s">
        <v>30</v>
      </c>
    </row>
    <row r="110" spans="1:10">
      <c r="A110" s="48" t="s">
        <v>103</v>
      </c>
      <c r="B110" s="48"/>
    </row>
    <row r="111" spans="1:10">
      <c r="A111" s="49" t="s">
        <v>48</v>
      </c>
      <c r="B111" s="50"/>
      <c r="C111" s="50"/>
      <c r="D111" s="50"/>
      <c r="E111" s="50"/>
      <c r="F111" s="50"/>
      <c r="G111" s="50"/>
      <c r="H111" s="50"/>
      <c r="I111" s="50"/>
      <c r="J111" s="50"/>
    </row>
    <row r="112" spans="1:10" ht="30">
      <c r="A112" s="51" t="s">
        <v>50</v>
      </c>
      <c r="B112" s="52" t="s">
        <v>49</v>
      </c>
      <c r="C112" s="51" t="s">
        <v>45</v>
      </c>
      <c r="D112" s="51" t="s">
        <v>46</v>
      </c>
      <c r="E112" s="53" t="s">
        <v>47</v>
      </c>
      <c r="F112" s="53" t="s">
        <v>60</v>
      </c>
      <c r="G112" s="50"/>
      <c r="H112" s="53" t="s">
        <v>52</v>
      </c>
      <c r="I112" s="50"/>
      <c r="J112" s="54" t="s">
        <v>100</v>
      </c>
    </row>
    <row r="113" spans="1:10">
      <c r="A113" s="54">
        <v>4.9176000000000002</v>
      </c>
      <c r="B113" s="55">
        <v>25.9</v>
      </c>
      <c r="C113" s="54">
        <v>127.36583999999999</v>
      </c>
      <c r="D113" s="54">
        <v>24.182789760000002</v>
      </c>
      <c r="E113" s="54">
        <v>670.81</v>
      </c>
      <c r="F113" s="54">
        <v>29.668107258645609</v>
      </c>
      <c r="G113" s="50"/>
      <c r="H113" s="54">
        <v>14.198632312657736</v>
      </c>
      <c r="I113" s="50"/>
      <c r="J113" s="54">
        <f>B113-F113</f>
        <v>-3.7681072586456104</v>
      </c>
    </row>
    <row r="114" spans="1:10">
      <c r="A114" s="54">
        <v>5.0208000000000004</v>
      </c>
      <c r="B114" s="55">
        <v>29.5</v>
      </c>
      <c r="C114" s="54">
        <v>148.11360000000002</v>
      </c>
      <c r="D114" s="54">
        <v>25.208432640000005</v>
      </c>
      <c r="E114" s="54">
        <v>870.25</v>
      </c>
      <c r="F114" s="54">
        <v>30.011182369913847</v>
      </c>
      <c r="G114" s="50"/>
      <c r="H114" s="54">
        <v>0.26130741531073703</v>
      </c>
      <c r="I114" s="50"/>
      <c r="J114" s="54">
        <f t="shared" ref="J114:J136" si="8">B114-F114</f>
        <v>-0.51118236991384691</v>
      </c>
    </row>
    <row r="115" spans="1:10">
      <c r="A115" s="54">
        <v>4.5429000000000004</v>
      </c>
      <c r="B115" s="55">
        <v>27.9</v>
      </c>
      <c r="C115" s="54">
        <v>126.74691</v>
      </c>
      <c r="D115" s="54">
        <v>20.637940410000002</v>
      </c>
      <c r="E115" s="54">
        <v>778.41</v>
      </c>
      <c r="F115" s="54">
        <v>28.422465357558316</v>
      </c>
      <c r="G115" s="50"/>
      <c r="H115" s="54">
        <v>0.27297004984854062</v>
      </c>
      <c r="I115" s="50"/>
      <c r="J115" s="54">
        <f t="shared" si="8"/>
        <v>-0.52246535755831758</v>
      </c>
    </row>
    <row r="116" spans="1:10">
      <c r="A116" s="54">
        <v>4.5572999999999997</v>
      </c>
      <c r="B116" s="55">
        <v>25.9</v>
      </c>
      <c r="C116" s="54">
        <v>118.03406999999999</v>
      </c>
      <c r="D116" s="54">
        <v>20.768983289999998</v>
      </c>
      <c r="E116" s="54">
        <v>670.81</v>
      </c>
      <c r="F116" s="54">
        <v>28.470336303316671</v>
      </c>
      <c r="G116" s="50"/>
      <c r="H116" s="54">
        <v>6.606628712147617</v>
      </c>
      <c r="I116" s="50"/>
      <c r="J116" s="54">
        <f t="shared" si="8"/>
        <v>-2.5703363033166724</v>
      </c>
    </row>
    <row r="117" spans="1:10">
      <c r="A117" s="54">
        <v>5.0597000000000003</v>
      </c>
      <c r="B117" s="55">
        <v>29.9</v>
      </c>
      <c r="C117" s="54">
        <v>151.28503000000001</v>
      </c>
      <c r="D117" s="54">
        <v>25.600564090000002</v>
      </c>
      <c r="E117" s="54">
        <v>894.00999999999988</v>
      </c>
      <c r="F117" s="54">
        <v>30.14050041088608</v>
      </c>
      <c r="G117" s="50"/>
      <c r="H117" s="54">
        <v>5.7840447636374047E-2</v>
      </c>
      <c r="I117" s="50"/>
      <c r="J117" s="54">
        <f t="shared" si="8"/>
        <v>-0.24050041088608154</v>
      </c>
    </row>
    <row r="118" spans="1:10">
      <c r="A118" s="54">
        <v>3.891</v>
      </c>
      <c r="B118" s="55">
        <v>29.9</v>
      </c>
      <c r="C118" s="54">
        <v>116.34089999999999</v>
      </c>
      <c r="D118" s="54">
        <v>15.139881000000001</v>
      </c>
      <c r="E118" s="54">
        <v>894.00999999999988</v>
      </c>
      <c r="F118" s="54">
        <v>26.255307750622606</v>
      </c>
      <c r="G118" s="50"/>
      <c r="H118" s="54">
        <v>13.283781592671637</v>
      </c>
      <c r="I118" s="50"/>
      <c r="J118" s="54">
        <f t="shared" si="8"/>
        <v>3.6446922493773926</v>
      </c>
    </row>
    <row r="119" spans="1:10">
      <c r="A119" s="54">
        <v>5.8979999999999997</v>
      </c>
      <c r="B119" s="55">
        <v>30.9</v>
      </c>
      <c r="C119" s="54">
        <v>182.24819999999997</v>
      </c>
      <c r="D119" s="54">
        <v>34.786403999999997</v>
      </c>
      <c r="E119" s="54">
        <v>954.81</v>
      </c>
      <c r="F119" s="54">
        <v>32.927320815693875</v>
      </c>
      <c r="G119" s="50"/>
      <c r="H119" s="54">
        <v>4.1100296897456845</v>
      </c>
      <c r="I119" s="50"/>
      <c r="J119" s="54">
        <f t="shared" si="8"/>
        <v>-2.0273208156938765</v>
      </c>
    </row>
    <row r="120" spans="1:10">
      <c r="A120" s="54">
        <v>5.6039000000000003</v>
      </c>
      <c r="B120" s="55">
        <v>28.9</v>
      </c>
      <c r="C120" s="54">
        <v>161.95271</v>
      </c>
      <c r="D120" s="54">
        <v>31.403695210000002</v>
      </c>
      <c r="E120" s="54">
        <v>835.20999999999992</v>
      </c>
      <c r="F120" s="54">
        <v>31.949623236004062</v>
      </c>
      <c r="G120" s="50"/>
      <c r="H120" s="54">
        <v>9.3002018815758927</v>
      </c>
      <c r="I120" s="50"/>
      <c r="J120" s="54">
        <f t="shared" si="8"/>
        <v>-3.0496232360040629</v>
      </c>
    </row>
    <row r="121" spans="1:10">
      <c r="A121" s="54">
        <v>5.8281999999999998</v>
      </c>
      <c r="B121" s="55">
        <v>35.9</v>
      </c>
      <c r="C121" s="54">
        <v>209.23237999999998</v>
      </c>
      <c r="D121" s="54">
        <v>33.967915239999996</v>
      </c>
      <c r="E121" s="54">
        <v>1288.81</v>
      </c>
      <c r="F121" s="54">
        <v>32.695279703615164</v>
      </c>
      <c r="G121" s="50"/>
      <c r="H121" s="54">
        <v>10.270232178060905</v>
      </c>
      <c r="I121" s="50"/>
      <c r="J121" s="54">
        <f t="shared" si="8"/>
        <v>3.2047202963848349</v>
      </c>
    </row>
    <row r="122" spans="1:10">
      <c r="A122" s="54">
        <v>5.3003</v>
      </c>
      <c r="B122" s="55">
        <v>31.5</v>
      </c>
      <c r="C122" s="54">
        <v>166.95945</v>
      </c>
      <c r="D122" s="54">
        <v>28.093180090000001</v>
      </c>
      <c r="E122" s="54">
        <v>992.25</v>
      </c>
      <c r="F122" s="54">
        <v>30.94034412959866</v>
      </c>
      <c r="G122" s="50"/>
      <c r="H122" s="54">
        <v>0.3132146932746811</v>
      </c>
      <c r="I122" s="50"/>
      <c r="J122" s="54">
        <f t="shared" si="8"/>
        <v>0.55965587040133968</v>
      </c>
    </row>
    <row r="123" spans="1:10">
      <c r="A123" s="54">
        <v>6.2712000000000003</v>
      </c>
      <c r="B123" s="55">
        <v>31</v>
      </c>
      <c r="C123" s="54">
        <v>194.40720000000002</v>
      </c>
      <c r="D123" s="54">
        <v>39.327949440000005</v>
      </c>
      <c r="E123" s="54">
        <v>961</v>
      </c>
      <c r="F123" s="54">
        <v>34.167976159931342</v>
      </c>
      <c r="G123" s="50"/>
      <c r="H123" s="54">
        <v>10.036072949893335</v>
      </c>
      <c r="I123" s="50"/>
      <c r="J123" s="54">
        <f t="shared" si="8"/>
        <v>-3.1679761599313423</v>
      </c>
    </row>
    <row r="124" spans="1:10">
      <c r="A124" s="54">
        <v>5.9592000000000001</v>
      </c>
      <c r="B124" s="55">
        <v>30.9</v>
      </c>
      <c r="C124" s="54">
        <v>184.13927999999999</v>
      </c>
      <c r="D124" s="54">
        <v>35.512064639999998</v>
      </c>
      <c r="E124" s="54">
        <v>954.81</v>
      </c>
      <c r="F124" s="54">
        <v>33.130772335166895</v>
      </c>
      <c r="G124" s="50"/>
      <c r="H124" s="54">
        <v>4.9763452113459703</v>
      </c>
      <c r="I124" s="50"/>
      <c r="J124" s="54">
        <f t="shared" si="8"/>
        <v>-2.2307723351668969</v>
      </c>
    </row>
    <row r="125" spans="1:10">
      <c r="A125" s="54">
        <v>5.05</v>
      </c>
      <c r="B125" s="55">
        <v>30</v>
      </c>
      <c r="C125" s="54">
        <v>151.5</v>
      </c>
      <c r="D125" s="54">
        <v>25.502499999999998</v>
      </c>
      <c r="E125" s="54">
        <v>900</v>
      </c>
      <c r="F125" s="54">
        <v>30.108254009923851</v>
      </c>
      <c r="G125" s="50"/>
      <c r="H125" s="54">
        <v>1.1718930664593166E-2</v>
      </c>
      <c r="I125" s="50"/>
      <c r="J125" s="54">
        <f t="shared" si="8"/>
        <v>-0.1082540099238507</v>
      </c>
    </row>
    <row r="126" spans="1:10">
      <c r="A126" s="54">
        <v>8.2463999999999995</v>
      </c>
      <c r="B126" s="55">
        <v>36.9</v>
      </c>
      <c r="C126" s="54">
        <v>304.29215999999997</v>
      </c>
      <c r="D126" s="54">
        <v>68.003112959999996</v>
      </c>
      <c r="E126" s="54">
        <v>1361.61</v>
      </c>
      <c r="F126" s="54">
        <v>40.734274219786229</v>
      </c>
      <c r="G126" s="50"/>
      <c r="H126" s="54">
        <v>14.701658792517309</v>
      </c>
      <c r="I126" s="50"/>
      <c r="J126" s="54">
        <f t="shared" si="8"/>
        <v>-3.8342742197862307</v>
      </c>
    </row>
    <row r="127" spans="1:10">
      <c r="A127" s="54">
        <v>6.6969000000000003</v>
      </c>
      <c r="B127" s="55">
        <v>41.9</v>
      </c>
      <c r="C127" s="54">
        <v>280.60011000000003</v>
      </c>
      <c r="D127" s="54">
        <v>44.848469610000002</v>
      </c>
      <c r="E127" s="54">
        <v>1755.61</v>
      </c>
      <c r="F127" s="54">
        <v>35.583160993912827</v>
      </c>
      <c r="G127" s="50"/>
      <c r="H127" s="54">
        <v>39.902455028824363</v>
      </c>
      <c r="I127" s="50"/>
      <c r="J127" s="54">
        <f t="shared" si="8"/>
        <v>6.3168390060871715</v>
      </c>
    </row>
    <row r="128" spans="1:10">
      <c r="A128" s="54">
        <v>7.7840999999999996</v>
      </c>
      <c r="B128" s="55">
        <v>40.5</v>
      </c>
      <c r="C128" s="54">
        <v>315.25604999999996</v>
      </c>
      <c r="D128" s="54">
        <v>60.592212809999992</v>
      </c>
      <c r="E128" s="54">
        <v>1640.25</v>
      </c>
      <c r="F128" s="54">
        <v>39.197417398668918</v>
      </c>
      <c r="G128" s="50"/>
      <c r="H128" s="54">
        <v>1.6967214332904483</v>
      </c>
      <c r="I128" s="50"/>
      <c r="J128" s="54">
        <f t="shared" si="8"/>
        <v>1.3025826013310819</v>
      </c>
    </row>
    <row r="129" spans="1:10">
      <c r="A129" s="54">
        <v>9.0383999999999993</v>
      </c>
      <c r="B129" s="55">
        <v>43.9</v>
      </c>
      <c r="C129" s="54">
        <v>396.78575999999998</v>
      </c>
      <c r="D129" s="54">
        <v>81.692674559999986</v>
      </c>
      <c r="E129" s="54">
        <v>1927.2099999999998</v>
      </c>
      <c r="F129" s="54">
        <v>43.367176236495965</v>
      </c>
      <c r="G129" s="50"/>
      <c r="H129" s="54">
        <v>0.28390116295460255</v>
      </c>
      <c r="I129" s="50"/>
      <c r="J129" s="54">
        <f t="shared" si="8"/>
        <v>0.53282376350403382</v>
      </c>
    </row>
    <row r="130" spans="1:10">
      <c r="A130" s="54">
        <v>5.9893999999999998</v>
      </c>
      <c r="B130" s="55">
        <v>37.5</v>
      </c>
      <c r="C130" s="54">
        <v>224.60249999999999</v>
      </c>
      <c r="D130" s="54">
        <v>35.872912360000001</v>
      </c>
      <c r="E130" s="54">
        <v>1406.25</v>
      </c>
      <c r="F130" s="54">
        <v>33.231168346410129</v>
      </c>
      <c r="G130" s="50"/>
      <c r="H130" s="54">
        <v>18.22292368669083</v>
      </c>
      <c r="I130" s="50"/>
      <c r="J130" s="54">
        <f t="shared" si="8"/>
        <v>4.2688316535898707</v>
      </c>
    </row>
    <row r="131" spans="1:10">
      <c r="A131" s="54">
        <v>7.5422000000000002</v>
      </c>
      <c r="B131" s="55">
        <v>37.9</v>
      </c>
      <c r="C131" s="54">
        <v>285.84938</v>
      </c>
      <c r="D131" s="54">
        <v>56.884780840000005</v>
      </c>
      <c r="E131" s="54">
        <v>1436.4099999999999</v>
      </c>
      <c r="F131" s="54">
        <v>38.393251997353161</v>
      </c>
      <c r="G131" s="50"/>
      <c r="H131" s="54">
        <v>0.24329753289288433</v>
      </c>
      <c r="I131" s="50"/>
      <c r="J131" s="54">
        <f t="shared" si="8"/>
        <v>-0.49325199735316261</v>
      </c>
    </row>
    <row r="132" spans="1:10">
      <c r="A132" s="54">
        <v>8.7950999999999997</v>
      </c>
      <c r="B132" s="55">
        <v>44.5</v>
      </c>
      <c r="C132" s="54">
        <v>391.38194999999996</v>
      </c>
      <c r="D132" s="54">
        <v>77.353784009999998</v>
      </c>
      <c r="E132" s="54">
        <v>1980.25</v>
      </c>
      <c r="F132" s="54">
        <v>42.558356715453698</v>
      </c>
      <c r="G132" s="50"/>
      <c r="H132" s="54">
        <v>3.7699786444237522</v>
      </c>
      <c r="I132" s="50"/>
      <c r="J132" s="54">
        <f t="shared" si="8"/>
        <v>1.9416432845463021</v>
      </c>
    </row>
    <row r="133" spans="1:10">
      <c r="A133" s="54">
        <v>6.0831</v>
      </c>
      <c r="B133" s="55">
        <v>37.9</v>
      </c>
      <c r="C133" s="54">
        <v>230.54948999999999</v>
      </c>
      <c r="D133" s="54">
        <v>37.004105609999996</v>
      </c>
      <c r="E133" s="54">
        <v>1436.4099999999999</v>
      </c>
      <c r="F133" s="54">
        <v>33.54266193096278</v>
      </c>
      <c r="G133" s="50"/>
      <c r="H133" s="54">
        <v>18.986395047881</v>
      </c>
      <c r="I133" s="50"/>
      <c r="J133" s="54">
        <f t="shared" si="8"/>
        <v>4.357338069037219</v>
      </c>
    </row>
    <row r="134" spans="1:10">
      <c r="A134" s="54">
        <v>8.3606999999999996</v>
      </c>
      <c r="B134" s="55">
        <v>38.9</v>
      </c>
      <c r="C134" s="54">
        <v>325.23122999999998</v>
      </c>
      <c r="D134" s="54">
        <v>69.901304489999987</v>
      </c>
      <c r="E134" s="54">
        <v>1513.2099999999998</v>
      </c>
      <c r="F134" s="54">
        <v>41.11424985174321</v>
      </c>
      <c r="G134" s="50"/>
      <c r="H134" s="54">
        <v>4.9029024059448352</v>
      </c>
      <c r="I134" s="50"/>
      <c r="J134" s="54">
        <f t="shared" si="8"/>
        <v>-2.2142498517432117</v>
      </c>
    </row>
    <row r="135" spans="1:10">
      <c r="A135" s="54">
        <v>8.14</v>
      </c>
      <c r="B135" s="55">
        <v>36.9</v>
      </c>
      <c r="C135" s="54">
        <v>300.36599999999999</v>
      </c>
      <c r="D135" s="54">
        <v>66.259600000000006</v>
      </c>
      <c r="E135" s="54">
        <v>1361.61</v>
      </c>
      <c r="F135" s="54">
        <v>40.380561120571699</v>
      </c>
      <c r="G135" s="50"/>
      <c r="H135" s="54">
        <v>12.114305714035329</v>
      </c>
      <c r="I135" s="50"/>
      <c r="J135" s="54">
        <f t="shared" si="8"/>
        <v>-3.4805611205717</v>
      </c>
    </row>
    <row r="136" spans="1:10">
      <c r="A136" s="54">
        <v>9.1416000000000004</v>
      </c>
      <c r="B136" s="55">
        <v>45.8</v>
      </c>
      <c r="C136" s="54">
        <v>418.68527999999998</v>
      </c>
      <c r="D136" s="54">
        <v>83.568850560000001</v>
      </c>
      <c r="E136" s="54">
        <v>2097.64</v>
      </c>
      <c r="F136" s="54">
        <v>43.710251347764213</v>
      </c>
      <c r="G136" s="50"/>
      <c r="H136" s="54">
        <v>4.3670494295212743</v>
      </c>
      <c r="I136" s="50"/>
      <c r="J136" s="54">
        <f t="shared" si="8"/>
        <v>2.0897486522357838</v>
      </c>
    </row>
    <row r="137" spans="1:10">
      <c r="A137" s="55">
        <f>SUM(A113:A136)</f>
        <v>153.71799999999999</v>
      </c>
      <c r="B137" s="55">
        <f>SUM(B113:B136)</f>
        <v>830.69999999999982</v>
      </c>
      <c r="C137" s="55">
        <f>SUM(C113:C136)</f>
        <v>5511.9254799999999</v>
      </c>
      <c r="D137" s="55">
        <f t="shared" ref="D137:E137" si="9">SUM(D113:D136)</f>
        <v>1042.1141076200001</v>
      </c>
      <c r="E137" s="55">
        <f t="shared" si="9"/>
        <v>29581.649999999998</v>
      </c>
      <c r="F137" s="50"/>
      <c r="G137" s="50"/>
      <c r="H137" s="55">
        <f>SUM(H113:H136)</f>
        <v>192.89056494381032</v>
      </c>
      <c r="I137" s="50"/>
      <c r="J137" s="50"/>
    </row>
    <row r="138" spans="1:10">
      <c r="A138" s="56" t="s">
        <v>1</v>
      </c>
      <c r="B138" s="49">
        <v>24</v>
      </c>
      <c r="C138" s="50"/>
      <c r="D138" s="50"/>
      <c r="E138" s="50"/>
      <c r="F138" s="50"/>
      <c r="G138" s="50"/>
      <c r="H138" s="50"/>
      <c r="I138" s="50"/>
      <c r="J138" s="50"/>
    </row>
    <row r="139" spans="1:10" ht="18">
      <c r="A139" s="56" t="s">
        <v>2</v>
      </c>
      <c r="B139" s="57">
        <f>SUM(B113:B136)</f>
        <v>830.69999999999982</v>
      </c>
      <c r="C139" s="50"/>
      <c r="D139" s="50"/>
      <c r="E139" s="50"/>
      <c r="F139" s="50"/>
      <c r="G139" s="50"/>
      <c r="H139" s="50"/>
      <c r="I139" s="50"/>
      <c r="J139" s="50"/>
    </row>
    <row r="140" spans="1:10" ht="18">
      <c r="A140" s="56" t="s">
        <v>3</v>
      </c>
      <c r="B140" s="57">
        <f>SUM(E113:E136)</f>
        <v>29581.649999999998</v>
      </c>
      <c r="C140" s="50"/>
      <c r="D140" s="50"/>
      <c r="E140" s="50"/>
      <c r="F140" s="50"/>
      <c r="G140" s="50"/>
      <c r="H140" s="50"/>
      <c r="I140" s="50"/>
      <c r="J140" s="50"/>
    </row>
    <row r="141" spans="1:10" ht="18">
      <c r="A141" s="56" t="s">
        <v>4</v>
      </c>
      <c r="B141" s="57">
        <f>SUM(A113:A136)</f>
        <v>153.71799999999999</v>
      </c>
      <c r="C141" s="50"/>
      <c r="D141" s="50"/>
      <c r="E141" s="50"/>
      <c r="F141" s="50"/>
      <c r="G141" s="50"/>
      <c r="H141" s="50"/>
      <c r="I141" s="50"/>
      <c r="J141" s="50"/>
    </row>
    <row r="142" spans="1:10" ht="18">
      <c r="A142" s="56" t="s">
        <v>5</v>
      </c>
      <c r="B142" s="57">
        <f>SUM(D113:D136)</f>
        <v>1042.1141076200001</v>
      </c>
      <c r="C142" s="50"/>
      <c r="D142" s="50"/>
      <c r="E142" s="50"/>
      <c r="F142" s="50"/>
      <c r="G142" s="50"/>
      <c r="H142" s="50"/>
      <c r="I142" s="50"/>
      <c r="J142" s="50"/>
    </row>
    <row r="143" spans="1:10" ht="18">
      <c r="A143" s="56" t="s">
        <v>13</v>
      </c>
      <c r="B143" s="57">
        <f>SUM(C113:C136)</f>
        <v>5511.9254799999999</v>
      </c>
      <c r="C143" s="50"/>
      <c r="D143" s="50"/>
      <c r="E143" s="50"/>
      <c r="F143" s="50"/>
      <c r="G143" s="58"/>
      <c r="H143" s="50"/>
      <c r="I143" s="50"/>
      <c r="J143" s="50"/>
    </row>
    <row r="144" spans="1:10">
      <c r="A144" s="56"/>
      <c r="B144" s="50"/>
      <c r="C144" s="50"/>
      <c r="D144" s="50"/>
      <c r="E144" s="50"/>
      <c r="F144" s="50"/>
      <c r="G144" s="50"/>
      <c r="H144" s="50"/>
      <c r="I144" s="50"/>
      <c r="J144" s="50"/>
    </row>
    <row r="145" spans="1:10" ht="18">
      <c r="A145" s="74" t="s">
        <v>7</v>
      </c>
      <c r="B145" s="75" t="s">
        <v>10</v>
      </c>
      <c r="C145" s="59" t="s">
        <v>8</v>
      </c>
      <c r="D145" s="72" t="s">
        <v>55</v>
      </c>
      <c r="E145" s="72"/>
      <c r="F145" s="72"/>
      <c r="G145" s="72"/>
      <c r="H145" s="72"/>
      <c r="I145" s="72"/>
      <c r="J145" s="72">
        <f>B142-(B141^2)/B138</f>
        <v>57.56312745333355</v>
      </c>
    </row>
    <row r="146" spans="1:10">
      <c r="A146" s="74"/>
      <c r="B146" s="75"/>
      <c r="C146" s="57" t="s">
        <v>9</v>
      </c>
      <c r="D146" s="72"/>
      <c r="E146" s="72"/>
      <c r="F146" s="72"/>
      <c r="G146" s="72"/>
      <c r="H146" s="72"/>
      <c r="I146" s="72"/>
      <c r="J146" s="72"/>
    </row>
    <row r="147" spans="1:10" ht="18">
      <c r="A147" s="74" t="s">
        <v>12</v>
      </c>
      <c r="B147" s="75" t="s">
        <v>15</v>
      </c>
      <c r="C147" s="60" t="s">
        <v>14</v>
      </c>
      <c r="D147" s="72" t="s">
        <v>56</v>
      </c>
      <c r="E147" s="72"/>
      <c r="F147" s="72"/>
      <c r="G147" s="72"/>
      <c r="H147" s="72"/>
      <c r="I147" s="72"/>
      <c r="J147" s="72">
        <f>B143-B141*B139/B138</f>
        <v>191.36120500000197</v>
      </c>
    </row>
    <row r="148" spans="1:10">
      <c r="A148" s="74"/>
      <c r="B148" s="75"/>
      <c r="C148" s="57" t="s">
        <v>9</v>
      </c>
      <c r="D148" s="72"/>
      <c r="E148" s="72"/>
      <c r="F148" s="72"/>
      <c r="G148" s="72"/>
      <c r="H148" s="72"/>
      <c r="I148" s="72"/>
      <c r="J148" s="72"/>
    </row>
    <row r="149" spans="1:10">
      <c r="A149" s="56"/>
      <c r="B149" s="50"/>
      <c r="C149" s="50"/>
      <c r="D149" s="50"/>
      <c r="E149" s="50"/>
      <c r="F149" s="50"/>
      <c r="G149" s="50"/>
      <c r="H149" s="50"/>
      <c r="I149" s="50"/>
      <c r="J149" s="50"/>
    </row>
    <row r="150" spans="1:10" ht="18.75">
      <c r="A150" s="56" t="s">
        <v>21</v>
      </c>
      <c r="B150" s="57" t="s">
        <v>17</v>
      </c>
      <c r="C150" s="50" t="s">
        <v>57</v>
      </c>
      <c r="D150" s="50"/>
      <c r="E150" s="50"/>
      <c r="F150" s="50">
        <f>J147/J145</f>
        <v>3.3243712332193658</v>
      </c>
      <c r="G150" s="50"/>
      <c r="H150" s="50"/>
      <c r="I150" s="50"/>
      <c r="J150" s="50"/>
    </row>
    <row r="151" spans="1:10">
      <c r="A151" s="56" t="s">
        <v>19</v>
      </c>
      <c r="B151" s="50"/>
      <c r="C151" s="50"/>
      <c r="D151" s="50"/>
      <c r="E151" s="50"/>
      <c r="F151" s="50"/>
      <c r="G151" s="50"/>
      <c r="H151" s="50"/>
      <c r="I151" s="50"/>
      <c r="J151" s="50"/>
    </row>
    <row r="152" spans="1:10" ht="18.75">
      <c r="A152" s="56" t="s">
        <v>20</v>
      </c>
      <c r="B152" s="61" t="s">
        <v>22</v>
      </c>
      <c r="C152" s="50" t="s">
        <v>58</v>
      </c>
      <c r="D152" s="50"/>
      <c r="E152" s="50"/>
      <c r="F152" s="50"/>
      <c r="G152" s="50"/>
      <c r="H152" s="50">
        <f>B139/B138-F150*(B141/B138)</f>
        <v>13.320179282166055</v>
      </c>
      <c r="I152" s="50"/>
      <c r="J152" s="50"/>
    </row>
    <row r="153" spans="1:10">
      <c r="A153" s="56"/>
      <c r="B153" s="50"/>
      <c r="C153" s="50"/>
      <c r="D153" s="50"/>
      <c r="E153" s="50"/>
      <c r="F153" s="50"/>
      <c r="G153" s="50"/>
      <c r="H153" s="50"/>
      <c r="I153" s="50"/>
      <c r="J153" s="50"/>
    </row>
    <row r="154" spans="1:10" ht="15.75">
      <c r="A154" s="62" t="s">
        <v>24</v>
      </c>
      <c r="B154" s="50" t="s">
        <v>59</v>
      </c>
      <c r="C154" s="50"/>
      <c r="D154" s="50"/>
      <c r="E154" s="50"/>
      <c r="F154" s="50"/>
      <c r="G154" s="50"/>
      <c r="H154" s="50"/>
      <c r="I154" s="50"/>
      <c r="J154" s="50"/>
    </row>
    <row r="155" spans="1:10">
      <c r="A155" s="56" t="s">
        <v>6</v>
      </c>
      <c r="B155" s="50"/>
      <c r="C155" s="50"/>
      <c r="D155" s="50"/>
      <c r="E155" s="50"/>
      <c r="F155" s="50"/>
      <c r="G155" s="50"/>
      <c r="H155" s="50"/>
      <c r="I155" s="50"/>
      <c r="J155" s="50"/>
    </row>
    <row r="156" spans="1:10" ht="18">
      <c r="A156" s="56" t="s">
        <v>40</v>
      </c>
      <c r="B156" s="57" t="s">
        <v>41</v>
      </c>
      <c r="C156" s="57" t="s">
        <v>51</v>
      </c>
      <c r="D156" s="50">
        <f>H137</f>
        <v>192.89056494381032</v>
      </c>
      <c r="E156" s="50"/>
      <c r="F156" s="50"/>
      <c r="G156" s="50"/>
      <c r="H156" s="50"/>
      <c r="I156" s="50"/>
      <c r="J156" s="50"/>
    </row>
    <row r="157" spans="1:10" ht="18.75">
      <c r="A157" s="56" t="s">
        <v>54</v>
      </c>
      <c r="B157" s="56" t="s">
        <v>53</v>
      </c>
      <c r="C157" s="50" t="s">
        <v>61</v>
      </c>
      <c r="D157" s="50"/>
      <c r="E157" s="50">
        <f>D156/(B138-2)</f>
        <v>8.7677529519913779</v>
      </c>
      <c r="F157" s="50"/>
      <c r="G157" s="50"/>
      <c r="H157" s="50"/>
      <c r="I157" s="50"/>
      <c r="J157" s="50"/>
    </row>
    <row r="158" spans="1:10">
      <c r="A158" s="56" t="s">
        <v>26</v>
      </c>
      <c r="B158" s="50"/>
      <c r="C158" s="50"/>
      <c r="D158" s="50"/>
      <c r="E158" s="50"/>
      <c r="F158" s="50"/>
      <c r="G158" s="50"/>
      <c r="H158" s="50"/>
      <c r="I158" s="50"/>
      <c r="J158" s="50"/>
    </row>
    <row r="159" spans="1:10" ht="15.75">
      <c r="A159" s="62" t="s">
        <v>24</v>
      </c>
      <c r="B159" s="50" t="s">
        <v>62</v>
      </c>
      <c r="C159" s="50"/>
      <c r="D159" s="50"/>
      <c r="E159" s="50">
        <f>H152+F150*7.5</f>
        <v>38.252963531311295</v>
      </c>
      <c r="F159" s="50"/>
      <c r="G159" s="50"/>
      <c r="H159" s="50"/>
      <c r="I159" s="50"/>
      <c r="J159" s="50"/>
    </row>
    <row r="160" spans="1:10">
      <c r="A160" s="56" t="s">
        <v>30</v>
      </c>
      <c r="B160" s="50"/>
      <c r="C160" s="50"/>
      <c r="D160" s="50"/>
      <c r="E160" s="50"/>
      <c r="F160" s="50"/>
      <c r="G160" s="50"/>
      <c r="H160" s="50"/>
      <c r="I160" s="50"/>
      <c r="J160" s="50"/>
    </row>
    <row r="161" spans="1:10" ht="15.75">
      <c r="A161" s="62" t="s">
        <v>24</v>
      </c>
      <c r="B161" s="50" t="s">
        <v>63</v>
      </c>
      <c r="C161" s="50"/>
      <c r="D161" s="50"/>
      <c r="E161" s="50">
        <f>H152+F150*5.898</f>
        <v>32.927320815693875</v>
      </c>
      <c r="F161" s="50"/>
      <c r="G161" s="50"/>
      <c r="H161" s="50"/>
      <c r="I161" s="50"/>
      <c r="J161" s="50"/>
    </row>
    <row r="162" spans="1:10" ht="18">
      <c r="A162" s="56"/>
      <c r="B162" s="57" t="s">
        <v>78</v>
      </c>
      <c r="C162" s="57" t="s">
        <v>86</v>
      </c>
      <c r="D162" s="49" t="s">
        <v>85</v>
      </c>
      <c r="E162" s="50"/>
      <c r="F162" s="50"/>
      <c r="G162" s="50"/>
      <c r="H162" s="50">
        <f>(30.9-32.9273)</f>
        <v>-2.0273000000000039</v>
      </c>
      <c r="I162" s="50"/>
      <c r="J162" s="50"/>
    </row>
    <row r="163" spans="1:10">
      <c r="A163" s="56" t="s">
        <v>33</v>
      </c>
      <c r="B163" s="50"/>
      <c r="C163" s="50"/>
      <c r="D163" s="50"/>
      <c r="E163" s="50"/>
      <c r="F163" s="50"/>
      <c r="G163" s="50"/>
      <c r="H163" s="50"/>
      <c r="I163" s="50"/>
      <c r="J163" s="50"/>
    </row>
    <row r="164" spans="1:10">
      <c r="A164" s="56"/>
      <c r="B164" s="50"/>
      <c r="C164" s="50"/>
      <c r="D164" s="50"/>
      <c r="E164" s="50"/>
      <c r="F164" s="50"/>
      <c r="G164" s="50"/>
      <c r="H164" s="50"/>
      <c r="I164" s="50"/>
      <c r="J164" s="50"/>
    </row>
    <row r="165" spans="1:10">
      <c r="A165" s="56"/>
      <c r="B165" s="50"/>
      <c r="C165" s="50"/>
      <c r="D165" s="50"/>
      <c r="E165" s="50"/>
      <c r="F165" s="50"/>
      <c r="G165" s="50"/>
      <c r="H165" s="50"/>
      <c r="I165" s="50"/>
      <c r="J165" s="50"/>
    </row>
    <row r="166" spans="1:10">
      <c r="A166" s="56"/>
      <c r="B166" s="50"/>
      <c r="C166" s="50"/>
      <c r="D166" s="50"/>
      <c r="E166" s="50"/>
      <c r="F166" s="50"/>
      <c r="G166" s="50"/>
      <c r="H166" s="50"/>
      <c r="I166" s="50"/>
      <c r="J166" s="50"/>
    </row>
    <row r="167" spans="1:10">
      <c r="A167" s="56"/>
      <c r="B167" s="50"/>
      <c r="C167" s="50"/>
      <c r="D167" s="50"/>
      <c r="E167" s="50"/>
      <c r="F167" s="50"/>
      <c r="G167" s="50"/>
      <c r="H167" s="50"/>
      <c r="I167" s="50"/>
      <c r="J167" s="50"/>
    </row>
    <row r="168" spans="1:10">
      <c r="A168" s="56"/>
      <c r="B168" s="50"/>
      <c r="C168" s="50"/>
      <c r="D168" s="50"/>
      <c r="E168" s="50"/>
      <c r="F168" s="50"/>
      <c r="G168" s="50"/>
      <c r="H168" s="50"/>
      <c r="I168" s="50"/>
      <c r="J168" s="50"/>
    </row>
    <row r="169" spans="1:10">
      <c r="A169" s="56"/>
      <c r="B169" s="50"/>
      <c r="C169" s="50"/>
      <c r="D169" s="50"/>
      <c r="E169" s="50"/>
      <c r="F169" s="50"/>
      <c r="G169" s="50"/>
      <c r="H169" s="50"/>
      <c r="I169" s="50"/>
      <c r="J169" s="50"/>
    </row>
    <row r="170" spans="1:10">
      <c r="A170" s="56"/>
      <c r="B170" s="50"/>
      <c r="C170" s="50"/>
      <c r="D170" s="50"/>
      <c r="E170" s="50"/>
      <c r="F170" s="50"/>
      <c r="G170" s="50"/>
      <c r="H170" s="50"/>
      <c r="I170" s="50"/>
      <c r="J170" s="50"/>
    </row>
    <row r="171" spans="1:10">
      <c r="A171" s="56"/>
      <c r="B171" s="50"/>
      <c r="C171" s="50"/>
      <c r="D171" s="50"/>
      <c r="E171" s="50"/>
      <c r="F171" s="50"/>
      <c r="G171" s="50"/>
      <c r="H171" s="50"/>
      <c r="I171" s="50"/>
      <c r="J171" s="50"/>
    </row>
    <row r="172" spans="1:10">
      <c r="A172" s="56"/>
      <c r="B172" s="50"/>
      <c r="C172" s="50"/>
      <c r="D172" s="50"/>
      <c r="E172" s="50"/>
      <c r="F172" s="50"/>
      <c r="G172" s="50"/>
      <c r="H172" s="50"/>
      <c r="I172" s="50"/>
      <c r="J172" s="50"/>
    </row>
    <row r="173" spans="1:10">
      <c r="A173" s="56"/>
      <c r="B173" s="50"/>
      <c r="C173" s="50"/>
      <c r="D173" s="50"/>
      <c r="E173" s="50"/>
      <c r="F173" s="50"/>
      <c r="G173" s="50"/>
      <c r="H173" s="50"/>
      <c r="I173" s="50"/>
      <c r="J173" s="50"/>
    </row>
    <row r="174" spans="1:10">
      <c r="A174" s="56"/>
      <c r="B174" s="50"/>
      <c r="C174" s="50"/>
      <c r="D174" s="50"/>
      <c r="E174" s="50"/>
      <c r="F174" s="50"/>
      <c r="G174" s="50"/>
      <c r="H174" s="50"/>
      <c r="I174" s="50"/>
      <c r="J174" s="50"/>
    </row>
    <row r="175" spans="1:10">
      <c r="A175" s="56"/>
      <c r="B175" s="50"/>
      <c r="C175" s="50"/>
      <c r="D175" s="50"/>
      <c r="E175" s="50"/>
      <c r="F175" s="50"/>
      <c r="G175" s="50"/>
      <c r="H175" s="50"/>
      <c r="I175" s="50"/>
      <c r="J175" s="50"/>
    </row>
    <row r="176" spans="1:10">
      <c r="A176" s="56"/>
      <c r="B176" s="50"/>
      <c r="C176" s="50"/>
      <c r="D176" s="50"/>
      <c r="E176" s="50"/>
      <c r="F176" s="50"/>
      <c r="G176" s="50"/>
      <c r="H176" s="50"/>
      <c r="I176" s="50"/>
      <c r="J176" s="50"/>
    </row>
    <row r="177" spans="1:10">
      <c r="A177" s="56"/>
      <c r="B177" s="50"/>
      <c r="C177" s="50"/>
      <c r="D177" s="50"/>
      <c r="E177" s="50"/>
      <c r="F177" s="50"/>
      <c r="G177" s="50"/>
      <c r="H177" s="50"/>
      <c r="I177" s="50"/>
      <c r="J177" s="50"/>
    </row>
    <row r="178" spans="1:10">
      <c r="A178" s="56"/>
      <c r="B178" s="50"/>
      <c r="C178" s="50"/>
      <c r="D178" s="50"/>
      <c r="E178" s="50"/>
      <c r="F178" s="50"/>
      <c r="G178" s="50"/>
      <c r="H178" s="50"/>
      <c r="I178" s="50"/>
      <c r="J178" s="50"/>
    </row>
    <row r="179" spans="1:10">
      <c r="A179" s="73" t="s">
        <v>64</v>
      </c>
      <c r="B179" s="73"/>
      <c r="C179" s="73"/>
      <c r="D179" s="73"/>
      <c r="E179" s="73"/>
      <c r="F179" s="73"/>
      <c r="G179" s="73"/>
      <c r="H179" s="73"/>
      <c r="I179" s="73"/>
      <c r="J179" s="73"/>
    </row>
    <row r="180" spans="1:10">
      <c r="A180" s="73" t="s">
        <v>65</v>
      </c>
      <c r="B180" s="73"/>
      <c r="C180" s="73"/>
      <c r="D180" s="73"/>
      <c r="E180" s="73"/>
      <c r="F180" s="73"/>
      <c r="G180" s="73"/>
      <c r="H180" s="73"/>
      <c r="I180" s="73"/>
      <c r="J180" s="73"/>
    </row>
    <row r="181" spans="1:10">
      <c r="A181" s="73" t="s">
        <v>66</v>
      </c>
      <c r="B181" s="73"/>
      <c r="C181" s="73"/>
      <c r="D181" s="73"/>
      <c r="E181" s="73"/>
      <c r="F181" s="73"/>
      <c r="G181" s="73"/>
      <c r="H181" s="73"/>
      <c r="I181" s="73"/>
      <c r="J181" s="73"/>
    </row>
    <row r="182" spans="1:10">
      <c r="A182" s="48" t="s">
        <v>6</v>
      </c>
    </row>
    <row r="183" spans="1:10" ht="18">
      <c r="A183" s="63" t="s">
        <v>105</v>
      </c>
      <c r="B183" s="63" t="s">
        <v>106</v>
      </c>
      <c r="C183" s="63" t="s">
        <v>109</v>
      </c>
      <c r="D183" s="66" t="s">
        <v>111</v>
      </c>
    </row>
    <row r="184" spans="1:10">
      <c r="A184" s="17">
        <v>1</v>
      </c>
      <c r="B184" s="65">
        <v>-3.7681072586456104</v>
      </c>
      <c r="C184">
        <f>B184/SQRT(8.76775)</f>
        <v>-1.2725626645634487</v>
      </c>
      <c r="D184">
        <f>NORMSDIST(C184)</f>
        <v>0.1015866371003229</v>
      </c>
    </row>
    <row r="185" spans="1:10">
      <c r="A185" s="17">
        <v>2</v>
      </c>
      <c r="B185" s="65">
        <v>-0.51118236991384691</v>
      </c>
      <c r="C185">
        <f t="shared" ref="C185:C207" si="10">B185/SQRT(8.76775)</f>
        <v>-0.17263616826269435</v>
      </c>
      <c r="D185">
        <f t="shared" ref="D185:D207" si="11">NORMSDIST(C185)</f>
        <v>0.43146871027733225</v>
      </c>
    </row>
    <row r="186" spans="1:10">
      <c r="A186" s="17">
        <v>3</v>
      </c>
      <c r="B186" s="65">
        <v>-0.52246535755831758</v>
      </c>
      <c r="C186">
        <f t="shared" si="10"/>
        <v>-0.17644665130776693</v>
      </c>
      <c r="D186">
        <f t="shared" si="11"/>
        <v>0.42997152854918685</v>
      </c>
    </row>
    <row r="187" spans="1:10">
      <c r="A187" s="17">
        <v>4</v>
      </c>
      <c r="B187" s="65">
        <v>-2.5703363033166724</v>
      </c>
      <c r="C187">
        <f t="shared" si="10"/>
        <v>-0.86805225819089615</v>
      </c>
      <c r="D187">
        <f t="shared" si="11"/>
        <v>0.19268286254768463</v>
      </c>
    </row>
    <row r="188" spans="1:10">
      <c r="A188" s="17">
        <v>5</v>
      </c>
      <c r="B188" s="65">
        <v>-0.24050041088608154</v>
      </c>
      <c r="C188">
        <f t="shared" si="10"/>
        <v>-8.1221637999710744E-2</v>
      </c>
      <c r="D188">
        <f t="shared" si="11"/>
        <v>0.4676328458649176</v>
      </c>
    </row>
    <row r="189" spans="1:10">
      <c r="A189" s="17">
        <v>6</v>
      </c>
      <c r="B189" s="65">
        <v>3.6446922493773926</v>
      </c>
      <c r="C189">
        <f t="shared" si="10"/>
        <v>1.2308830301312972</v>
      </c>
      <c r="D189">
        <f t="shared" si="11"/>
        <v>0.89081669231408189</v>
      </c>
    </row>
    <row r="190" spans="1:10">
      <c r="A190" s="17">
        <v>7</v>
      </c>
      <c r="B190" s="65">
        <v>-2.0273208156938765</v>
      </c>
      <c r="C190">
        <f t="shared" si="10"/>
        <v>-0.68466543069467922</v>
      </c>
      <c r="D190">
        <f t="shared" si="11"/>
        <v>0.24677753400707725</v>
      </c>
    </row>
    <row r="191" spans="1:10">
      <c r="A191" s="17">
        <v>8</v>
      </c>
      <c r="B191" s="65">
        <v>-3.0496232360040629</v>
      </c>
      <c r="C191">
        <f t="shared" si="10"/>
        <v>-1.0299167207142734</v>
      </c>
      <c r="D191">
        <f t="shared" si="11"/>
        <v>0.15152455042129187</v>
      </c>
    </row>
    <row r="192" spans="1:10">
      <c r="A192" s="17">
        <v>9</v>
      </c>
      <c r="B192" s="65">
        <v>3.2047202963848349</v>
      </c>
      <c r="C192">
        <f t="shared" si="10"/>
        <v>1.082295996269995</v>
      </c>
      <c r="D192">
        <f t="shared" si="11"/>
        <v>0.86043948776955137</v>
      </c>
    </row>
    <row r="193" spans="1:4">
      <c r="A193" s="17">
        <v>10</v>
      </c>
      <c r="B193" s="65">
        <v>0.55965587040133968</v>
      </c>
      <c r="C193">
        <f t="shared" si="10"/>
        <v>0.18900660644476813</v>
      </c>
      <c r="D193">
        <f t="shared" si="11"/>
        <v>0.57495618053844777</v>
      </c>
    </row>
    <row r="194" spans="1:4">
      <c r="A194" s="17">
        <v>11</v>
      </c>
      <c r="B194" s="65">
        <v>-3.1679761599313423</v>
      </c>
      <c r="C194">
        <f t="shared" si="10"/>
        <v>-1.0698867910688812</v>
      </c>
      <c r="D194">
        <f t="shared" si="11"/>
        <v>0.14233513469382686</v>
      </c>
    </row>
    <row r="195" spans="1:4">
      <c r="A195" s="17">
        <v>12</v>
      </c>
      <c r="B195" s="65">
        <v>-2.2307723351669</v>
      </c>
      <c r="C195">
        <f t="shared" si="10"/>
        <v>-0.75337494185204801</v>
      </c>
      <c r="D195">
        <f t="shared" si="11"/>
        <v>0.22561231815450111</v>
      </c>
    </row>
    <row r="196" spans="1:4">
      <c r="A196" s="17">
        <v>13</v>
      </c>
      <c r="B196" s="65">
        <v>-0.10825400992385099</v>
      </c>
      <c r="C196">
        <f t="shared" si="10"/>
        <v>-3.6559471868083081E-2</v>
      </c>
      <c r="D196">
        <f t="shared" si="11"/>
        <v>0.48541812933754058</v>
      </c>
    </row>
    <row r="197" spans="1:4">
      <c r="A197" s="17">
        <v>14</v>
      </c>
      <c r="B197" s="65">
        <v>-3.8342742197862307</v>
      </c>
      <c r="C197">
        <f t="shared" si="10"/>
        <v>-1.2949085264499385</v>
      </c>
      <c r="D197">
        <f t="shared" si="11"/>
        <v>9.7675893395926194E-2</v>
      </c>
    </row>
    <row r="198" spans="1:4">
      <c r="A198" s="17">
        <v>15</v>
      </c>
      <c r="B198" s="65">
        <v>6.3168390060871715</v>
      </c>
      <c r="C198">
        <f t="shared" si="10"/>
        <v>2.1333186465859688</v>
      </c>
      <c r="D198">
        <f t="shared" si="11"/>
        <v>0.98355070219834961</v>
      </c>
    </row>
    <row r="199" spans="1:4">
      <c r="A199" s="17">
        <v>16</v>
      </c>
      <c r="B199" s="65">
        <v>1.3025826013310819</v>
      </c>
      <c r="C199">
        <f t="shared" si="10"/>
        <v>0.43990732539807692</v>
      </c>
      <c r="D199">
        <f t="shared" si="11"/>
        <v>0.66999788494912538</v>
      </c>
    </row>
    <row r="200" spans="1:4">
      <c r="A200" s="17">
        <v>17</v>
      </c>
      <c r="B200" s="65">
        <v>0.53282376350403382</v>
      </c>
      <c r="C200">
        <f t="shared" si="10"/>
        <v>0.17994488523958144</v>
      </c>
      <c r="D200">
        <f t="shared" si="11"/>
        <v>0.57140208151494931</v>
      </c>
    </row>
    <row r="201" spans="1:4">
      <c r="A201" s="17">
        <v>18</v>
      </c>
      <c r="B201" s="65">
        <v>4.2688316535898707</v>
      </c>
      <c r="C201">
        <f t="shared" si="10"/>
        <v>1.441666972510145</v>
      </c>
      <c r="D201">
        <f t="shared" si="11"/>
        <v>0.92530182743252376</v>
      </c>
    </row>
    <row r="202" spans="1:4">
      <c r="A202" s="17">
        <v>19</v>
      </c>
      <c r="B202" s="65">
        <v>-0.49325199735316261</v>
      </c>
      <c r="C202">
        <f t="shared" si="10"/>
        <v>-0.16658073482722435</v>
      </c>
      <c r="D202">
        <f t="shared" si="11"/>
        <v>0.43384997662967595</v>
      </c>
    </row>
    <row r="203" spans="1:4">
      <c r="A203" s="17">
        <v>20</v>
      </c>
      <c r="B203" s="65">
        <v>1.9416432845463021</v>
      </c>
      <c r="C203">
        <f t="shared" si="10"/>
        <v>0.65573047214746305</v>
      </c>
      <c r="D203">
        <f t="shared" si="11"/>
        <v>0.74400122057347495</v>
      </c>
    </row>
    <row r="204" spans="1:4">
      <c r="A204" s="17">
        <v>21</v>
      </c>
      <c r="B204" s="65">
        <v>4.357338069037219</v>
      </c>
      <c r="C204">
        <f t="shared" si="10"/>
        <v>1.4715572999720867</v>
      </c>
      <c r="D204">
        <f t="shared" si="11"/>
        <v>0.92942976826681734</v>
      </c>
    </row>
    <row r="205" spans="1:4">
      <c r="A205" s="17">
        <v>22</v>
      </c>
      <c r="B205" s="65">
        <v>-2.2142498517432117</v>
      </c>
      <c r="C205">
        <f t="shared" si="10"/>
        <v>-0.7477949797948078</v>
      </c>
      <c r="D205">
        <f t="shared" si="11"/>
        <v>0.22729191532506332</v>
      </c>
    </row>
    <row r="206" spans="1:4">
      <c r="A206" s="17">
        <v>23</v>
      </c>
      <c r="B206" s="65">
        <v>-3.4805611205717</v>
      </c>
      <c r="C206">
        <f t="shared" si="10"/>
        <v>-1.1754527750260184</v>
      </c>
      <c r="D206">
        <f t="shared" si="11"/>
        <v>0.11990681006081516</v>
      </c>
    </row>
    <row r="207" spans="1:4">
      <c r="A207" s="17">
        <v>24</v>
      </c>
      <c r="B207" s="65">
        <v>2.0897486522357838</v>
      </c>
      <c r="C207">
        <f t="shared" si="10"/>
        <v>0.70574851792114413</v>
      </c>
      <c r="D207">
        <f t="shared" si="11"/>
        <v>0.75982772859088188</v>
      </c>
    </row>
    <row r="208" spans="1:4">
      <c r="A208" s="48" t="s">
        <v>26</v>
      </c>
    </row>
    <row r="224" spans="1:9">
      <c r="A224" s="12" t="s">
        <v>112</v>
      </c>
      <c r="B224" s="12"/>
      <c r="C224" s="12"/>
      <c r="D224" s="12"/>
      <c r="E224" s="12"/>
      <c r="F224" s="12"/>
      <c r="G224" s="12"/>
      <c r="H224" s="12"/>
      <c r="I224" s="12"/>
    </row>
    <row r="225" spans="1:13">
      <c r="A225" s="48" t="s">
        <v>30</v>
      </c>
    </row>
    <row r="231" spans="1:13">
      <c r="M231" s="23"/>
    </row>
    <row r="244" spans="1:9">
      <c r="A244" s="23" t="s">
        <v>113</v>
      </c>
    </row>
    <row r="245" spans="1:9">
      <c r="A245" s="48" t="s">
        <v>33</v>
      </c>
    </row>
    <row r="246" spans="1:9" ht="18">
      <c r="A246" s="23" t="s">
        <v>98</v>
      </c>
      <c r="B246" t="s">
        <v>104</v>
      </c>
      <c r="D246" t="s">
        <v>114</v>
      </c>
      <c r="I246">
        <f>1-(D156/(D156+H152*J147))</f>
        <v>0.9296496401426676</v>
      </c>
    </row>
    <row r="247" spans="1:9">
      <c r="A247" s="23" t="s">
        <v>115</v>
      </c>
    </row>
  </sheetData>
  <mergeCells count="20">
    <mergeCell ref="A68:B68"/>
    <mergeCell ref="A50:A51"/>
    <mergeCell ref="B50:B51"/>
    <mergeCell ref="D50:I51"/>
    <mergeCell ref="J50:J51"/>
    <mergeCell ref="A52:A53"/>
    <mergeCell ref="B52:B53"/>
    <mergeCell ref="D52:I53"/>
    <mergeCell ref="J52:J53"/>
    <mergeCell ref="J147:J148"/>
    <mergeCell ref="A179:J179"/>
    <mergeCell ref="A180:J180"/>
    <mergeCell ref="A181:J181"/>
    <mergeCell ref="A145:A146"/>
    <mergeCell ref="B145:B146"/>
    <mergeCell ref="D145:I146"/>
    <mergeCell ref="J145:J146"/>
    <mergeCell ref="A147:A148"/>
    <mergeCell ref="B147:B148"/>
    <mergeCell ref="D147:I14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Week3</vt:lpstr>
      <vt:lpstr>Week4</vt:lpstr>
      <vt:lpstr>Sheet3</vt:lpstr>
    </vt:vector>
  </TitlesOfParts>
  <Company>United States Army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Jin.Won.Kim</dc:creator>
  <cp:lastModifiedBy>Jin.Won.Kim</cp:lastModifiedBy>
  <cp:lastPrinted>2013-09-13T21:13:35Z</cp:lastPrinted>
  <dcterms:created xsi:type="dcterms:W3CDTF">2013-09-05T17:06:26Z</dcterms:created>
  <dcterms:modified xsi:type="dcterms:W3CDTF">2013-09-13T21:44:54Z</dcterms:modified>
</cp:coreProperties>
</file>